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124"/>
  <workbookPr filterPrivacy="1"/>
  <mc:AlternateContent xmlns:mc="http://schemas.openxmlformats.org/markup-compatibility/2006">
    <mc:Choice Requires="x15">
      <x15ac:absPath xmlns:x15ac="http://schemas.microsoft.com/office/spreadsheetml/2010/11/ac" url="/Users/alexanderturdziladze/Desktop/"/>
    </mc:Choice>
  </mc:AlternateContent>
  <bookViews>
    <workbookView xWindow="0" yWindow="460" windowWidth="25600" windowHeight="14780"/>
  </bookViews>
  <sheets>
    <sheet name="გათვლები" sheetId="6" r:id="rId1"/>
    <sheet name="ადმინისტრაციული საკითხები" sheetId="4" r:id="rId2"/>
    <sheet name="work sheet 1" sheetId="5" r:id="rId3"/>
    <sheet name="work sheet 2" sheetId="2" r:id="rId4"/>
    <sheet name="work sheet 3" sheetId="3" r:id="rId5"/>
  </sheets>
  <externalReferences>
    <externalReference r:id="rId6"/>
  </externalReferenc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8" i="6" l="1"/>
  <c r="E67" i="6"/>
  <c r="E66" i="6"/>
  <c r="E65" i="6"/>
  <c r="E16" i="6"/>
  <c r="G16" i="6"/>
  <c r="H16" i="6"/>
  <c r="E5" i="6"/>
  <c r="G5" i="6"/>
  <c r="H5" i="6"/>
  <c r="I5" i="6"/>
  <c r="E6" i="6"/>
  <c r="G6" i="6"/>
  <c r="H6" i="6"/>
  <c r="I6" i="6"/>
  <c r="E7" i="6"/>
  <c r="G7" i="6"/>
  <c r="H7" i="6"/>
  <c r="I7" i="6"/>
  <c r="E8" i="6"/>
  <c r="G8" i="6"/>
  <c r="H8" i="6"/>
  <c r="I8" i="6"/>
  <c r="E9" i="6"/>
  <c r="G9" i="6"/>
  <c r="H9" i="6"/>
  <c r="I9" i="6"/>
  <c r="E10" i="6"/>
  <c r="G10" i="6"/>
  <c r="H10" i="6"/>
  <c r="I10" i="6"/>
  <c r="E11" i="6"/>
  <c r="G11" i="6"/>
  <c r="H11" i="6"/>
  <c r="I11" i="6"/>
  <c r="E12" i="6"/>
  <c r="G12" i="6"/>
  <c r="H12" i="6"/>
  <c r="I12" i="6"/>
  <c r="E13" i="6"/>
  <c r="G13" i="6"/>
  <c r="H13" i="6"/>
  <c r="I13" i="6"/>
  <c r="E14" i="6"/>
  <c r="G14" i="6"/>
  <c r="H14" i="6"/>
  <c r="I14" i="6"/>
  <c r="E15" i="6"/>
  <c r="G15" i="6"/>
  <c r="H15" i="6"/>
  <c r="I15" i="6"/>
  <c r="I16" i="6"/>
  <c r="I17" i="6"/>
  <c r="I25" i="5"/>
  <c r="I26" i="5"/>
  <c r="G41" i="6"/>
  <c r="G52" i="6"/>
  <c r="H52" i="6"/>
  <c r="I52" i="6"/>
  <c r="G51" i="6"/>
  <c r="H51" i="6"/>
  <c r="I51" i="6"/>
  <c r="G50" i="6"/>
  <c r="H50" i="6"/>
  <c r="I50" i="6"/>
  <c r="G49" i="6"/>
  <c r="H49" i="6"/>
  <c r="I49" i="6"/>
  <c r="G48" i="6"/>
  <c r="H48" i="6"/>
  <c r="I48" i="6"/>
  <c r="G47" i="6"/>
  <c r="H47" i="6"/>
  <c r="I47" i="6"/>
  <c r="G46" i="6"/>
  <c r="H46" i="6"/>
  <c r="I46" i="6"/>
  <c r="G45" i="6"/>
  <c r="H45" i="6"/>
  <c r="I45" i="6"/>
  <c r="G44" i="6"/>
  <c r="H44" i="6"/>
  <c r="I44" i="6"/>
  <c r="G43" i="6"/>
  <c r="H43" i="6"/>
  <c r="I43" i="6"/>
  <c r="G42" i="6"/>
  <c r="H42" i="6"/>
  <c r="I42" i="6"/>
  <c r="H41" i="6"/>
  <c r="I41" i="6"/>
  <c r="I24" i="5"/>
  <c r="D52" i="6"/>
  <c r="E52" i="6"/>
  <c r="F52" i="6"/>
  <c r="D51" i="6"/>
  <c r="E51" i="6"/>
  <c r="F51" i="6"/>
  <c r="D50" i="6"/>
  <c r="E50" i="6"/>
  <c r="F50" i="6"/>
  <c r="D49" i="6"/>
  <c r="E49" i="6"/>
  <c r="F49" i="6"/>
  <c r="D48" i="6"/>
  <c r="E48" i="6"/>
  <c r="F48" i="6"/>
  <c r="D47" i="6"/>
  <c r="E47" i="6"/>
  <c r="F47" i="6"/>
  <c r="D46" i="6"/>
  <c r="E46" i="6"/>
  <c r="F46" i="6"/>
  <c r="D45" i="6"/>
  <c r="E45" i="6"/>
  <c r="F45" i="6"/>
  <c r="D44" i="6"/>
  <c r="E44" i="6"/>
  <c r="F44" i="6"/>
  <c r="D43" i="6"/>
  <c r="E43" i="6"/>
  <c r="F43" i="6"/>
  <c r="D42" i="6"/>
  <c r="E42" i="6"/>
  <c r="F42" i="6"/>
  <c r="D41" i="6"/>
  <c r="E41" i="6"/>
  <c r="F41" i="6"/>
  <c r="E53" i="6"/>
  <c r="I53" i="6"/>
  <c r="H53" i="6"/>
  <c r="F53" i="6"/>
  <c r="E34" i="6"/>
  <c r="G34" i="6"/>
  <c r="E33" i="6"/>
  <c r="G33" i="6"/>
  <c r="E32" i="6"/>
  <c r="G32" i="6"/>
  <c r="E31" i="6"/>
  <c r="G31" i="6"/>
  <c r="E30" i="6"/>
  <c r="G30" i="6"/>
  <c r="E29" i="6"/>
  <c r="G29" i="6"/>
  <c r="E28" i="6"/>
  <c r="G28" i="6"/>
  <c r="E27" i="6"/>
  <c r="G27" i="6"/>
  <c r="E26" i="6"/>
  <c r="G26" i="6"/>
  <c r="E25" i="6"/>
  <c r="G25" i="6"/>
  <c r="E24" i="6"/>
  <c r="G24" i="6"/>
  <c r="E23" i="6"/>
  <c r="G23" i="6"/>
  <c r="F35" i="6"/>
  <c r="G35" i="6"/>
  <c r="P20" i="2"/>
  <c r="E35" i="6"/>
  <c r="D35" i="6"/>
  <c r="H17" i="6"/>
  <c r="G17" i="6"/>
  <c r="E38" i="2"/>
  <c r="D17" i="6"/>
  <c r="H32" i="2"/>
  <c r="C14" i="5"/>
  <c r="F14" i="5"/>
  <c r="F19" i="5"/>
  <c r="F21" i="5"/>
  <c r="F24" i="5"/>
  <c r="E49" i="2"/>
  <c r="E48" i="2"/>
  <c r="E47" i="2"/>
  <c r="E46" i="2"/>
  <c r="E45" i="2"/>
  <c r="E44" i="2"/>
  <c r="E43" i="2"/>
  <c r="E42" i="2"/>
  <c r="E41" i="2"/>
  <c r="E40" i="2"/>
  <c r="E39" i="2"/>
  <c r="F39" i="2"/>
  <c r="G39" i="2"/>
  <c r="F40" i="2"/>
  <c r="G40" i="2"/>
  <c r="F41" i="2"/>
  <c r="G41" i="2"/>
  <c r="F42" i="2"/>
  <c r="G42" i="2"/>
  <c r="F43" i="2"/>
  <c r="G43" i="2"/>
  <c r="F44" i="2"/>
  <c r="G44" i="2"/>
  <c r="F45" i="2"/>
  <c r="G45" i="2"/>
  <c r="F34" i="2"/>
  <c r="G34" i="2"/>
  <c r="C13" i="5"/>
  <c r="D13" i="5"/>
  <c r="F13" i="5"/>
  <c r="G13" i="5"/>
  <c r="D14" i="5"/>
  <c r="G14" i="5"/>
  <c r="C15" i="5"/>
  <c r="D15" i="5"/>
  <c r="F15" i="5"/>
  <c r="G15" i="5"/>
  <c r="C16" i="5"/>
  <c r="D16" i="5"/>
  <c r="F16" i="5"/>
  <c r="G16" i="5"/>
  <c r="C17" i="5"/>
  <c r="D17" i="5"/>
  <c r="F17" i="5"/>
  <c r="G17" i="5"/>
  <c r="C18" i="5"/>
  <c r="D18" i="5"/>
  <c r="F18" i="5"/>
  <c r="G18" i="5"/>
  <c r="G19" i="5"/>
  <c r="F9" i="5"/>
  <c r="G9" i="5"/>
  <c r="D9" i="5"/>
  <c r="D10" i="5"/>
  <c r="F10" i="5"/>
  <c r="G10" i="5"/>
  <c r="G11" i="5"/>
  <c r="C5" i="5"/>
  <c r="F5" i="5"/>
  <c r="G5" i="5"/>
  <c r="G6" i="5"/>
  <c r="G21" i="5"/>
  <c r="G27" i="5"/>
  <c r="F11" i="5"/>
  <c r="C4" i="5"/>
  <c r="F4" i="5"/>
  <c r="F6" i="5"/>
  <c r="F27" i="5"/>
  <c r="G24" i="5"/>
  <c r="C14" i="3"/>
  <c r="F14" i="3"/>
  <c r="G14" i="3"/>
  <c r="G19" i="3"/>
  <c r="G21" i="3"/>
  <c r="G27" i="3"/>
  <c r="F19" i="3"/>
  <c r="F21" i="3"/>
  <c r="F27" i="3"/>
  <c r="G24" i="3"/>
  <c r="F24" i="3"/>
  <c r="G18" i="3"/>
  <c r="G17" i="3"/>
  <c r="G16" i="3"/>
  <c r="G15" i="3"/>
  <c r="G13" i="3"/>
  <c r="G10" i="3"/>
  <c r="G9" i="3"/>
  <c r="G5" i="3"/>
  <c r="G11" i="3"/>
  <c r="G6" i="3"/>
  <c r="D16" i="2"/>
  <c r="C16" i="2"/>
  <c r="D9" i="3"/>
  <c r="D10" i="3"/>
  <c r="D18" i="3"/>
  <c r="D17" i="3"/>
  <c r="F17" i="3"/>
  <c r="D16" i="3"/>
  <c r="D15" i="3"/>
  <c r="D14" i="3"/>
  <c r="D13" i="3"/>
  <c r="C18" i="3"/>
  <c r="F18" i="3"/>
  <c r="C17" i="3"/>
  <c r="C16" i="3"/>
  <c r="F16" i="3"/>
  <c r="C15" i="3"/>
  <c r="F15" i="3"/>
  <c r="D32" i="2"/>
  <c r="E32" i="2"/>
  <c r="F32" i="2"/>
  <c r="G32" i="2"/>
  <c r="C32" i="2"/>
  <c r="C13" i="3"/>
  <c r="F13" i="3"/>
  <c r="C5" i="3"/>
  <c r="F5" i="3"/>
  <c r="F16" i="2"/>
  <c r="C4" i="3"/>
  <c r="F4" i="3"/>
  <c r="E16" i="2"/>
  <c r="F38" i="2"/>
  <c r="G38" i="2"/>
  <c r="F46" i="2"/>
  <c r="G46" i="2"/>
  <c r="F47" i="2"/>
  <c r="G47" i="2"/>
  <c r="F48" i="2"/>
  <c r="G48" i="2"/>
  <c r="F49" i="2"/>
  <c r="G49" i="2"/>
  <c r="G50" i="2"/>
  <c r="H50" i="2"/>
  <c r="C50" i="2"/>
  <c r="H39" i="2"/>
  <c r="H40" i="2"/>
  <c r="H41" i="2"/>
  <c r="H42" i="2"/>
  <c r="H43" i="2"/>
  <c r="H44" i="2"/>
  <c r="H45" i="2"/>
  <c r="H46" i="2"/>
  <c r="H47" i="2"/>
  <c r="H48" i="2"/>
  <c r="H49" i="2"/>
  <c r="H38" i="2"/>
  <c r="O21" i="2"/>
  <c r="O22" i="2"/>
  <c r="O23" i="2"/>
  <c r="O24" i="2"/>
  <c r="O25" i="2"/>
  <c r="O26" i="2"/>
  <c r="O27" i="2"/>
  <c r="O28" i="2"/>
  <c r="O29" i="2"/>
  <c r="O30" i="2"/>
  <c r="O31" i="2"/>
  <c r="O20" i="2"/>
  <c r="O32" i="2"/>
  <c r="I5" i="2"/>
  <c r="J5" i="2"/>
  <c r="I6" i="2"/>
  <c r="J6" i="2"/>
  <c r="I7" i="2"/>
  <c r="I8" i="2"/>
  <c r="I9" i="2"/>
  <c r="I10" i="2"/>
  <c r="J10" i="2"/>
  <c r="I11" i="2"/>
  <c r="I12" i="2"/>
  <c r="J12" i="2"/>
  <c r="I13" i="2"/>
  <c r="I14" i="2"/>
  <c r="J14" i="2"/>
  <c r="I15" i="2"/>
  <c r="I4" i="2"/>
  <c r="J4" i="2"/>
  <c r="J7" i="2"/>
  <c r="J11" i="2"/>
  <c r="J15" i="2"/>
  <c r="J8" i="2"/>
  <c r="J9" i="2"/>
  <c r="J13" i="2"/>
  <c r="F10" i="3"/>
  <c r="F9" i="3"/>
  <c r="F11" i="3"/>
  <c r="F6" i="3"/>
  <c r="J16" i="2"/>
  <c r="I16" i="2"/>
  <c r="D5" i="2"/>
  <c r="D6" i="2"/>
  <c r="D7" i="2"/>
  <c r="D8" i="2"/>
  <c r="D9" i="2"/>
  <c r="D10" i="2"/>
  <c r="D11" i="2"/>
  <c r="D12" i="2"/>
  <c r="D13" i="2"/>
  <c r="D14" i="2"/>
  <c r="D15" i="2"/>
  <c r="D4" i="2"/>
</calcChain>
</file>

<file path=xl/comments1.xml><?xml version="1.0" encoding="utf-8"?>
<comments xmlns="http://schemas.openxmlformats.org/spreadsheetml/2006/main">
  <authors>
    <author>Author</author>
  </authors>
  <commentList>
    <comment ref="G4" authorId="0">
      <text>
        <r>
          <rPr>
            <b/>
            <sz val="10"/>
            <color indexed="81"/>
            <rFont val="Calibri"/>
          </rPr>
          <t>Author:</t>
        </r>
        <r>
          <rPr>
            <sz val="10"/>
            <color indexed="81"/>
            <rFont val="Calibri"/>
          </rPr>
          <t xml:space="preserve">
სტუდენტები</t>
        </r>
      </text>
    </comment>
  </commentList>
</comments>
</file>

<file path=xl/sharedStrings.xml><?xml version="1.0" encoding="utf-8"?>
<sst xmlns="http://schemas.openxmlformats.org/spreadsheetml/2006/main" count="273" uniqueCount="134">
  <si>
    <t>ბათუმი</t>
  </si>
  <si>
    <t>ქუთაისი</t>
  </si>
  <si>
    <t>რუსთავი</t>
  </si>
  <si>
    <t>მარნეული</t>
  </si>
  <si>
    <t>გორი</t>
  </si>
  <si>
    <t>ზუგდიდი</t>
  </si>
  <si>
    <t>თელავი</t>
  </si>
  <si>
    <t>ოზურგეთი</t>
  </si>
  <si>
    <t>ახალციხე</t>
  </si>
  <si>
    <t>გურჯაანი</t>
  </si>
  <si>
    <t>ფოთი</t>
  </si>
  <si>
    <t>თბილისი</t>
  </si>
  <si>
    <t>ფილიალი</t>
  </si>
  <si>
    <t>№</t>
  </si>
  <si>
    <t>ნაკადები თვეში</t>
  </si>
  <si>
    <t>წლიური რაოდენობა</t>
  </si>
  <si>
    <t xml:space="preserve">1. </t>
  </si>
  <si>
    <t>შტატგარეშე თანამშრომლის დაკონტრაქტება:</t>
  </si>
  <si>
    <t>პოზიცია</t>
  </si>
  <si>
    <t>რ-ბა</t>
  </si>
  <si>
    <t>თვის ხელფასი</t>
  </si>
  <si>
    <t>თვეების რ-ბა</t>
  </si>
  <si>
    <t>წლიური ხარჯი</t>
  </si>
  <si>
    <t>1.1</t>
  </si>
  <si>
    <t>სისხლის ამღები ექთანი/რეგისტრატორი</t>
  </si>
  <si>
    <t>1.2</t>
  </si>
  <si>
    <t xml:space="preserve">2. </t>
  </si>
  <si>
    <t>ტესტები და სახარჯი მასალები</t>
  </si>
  <si>
    <t>ბიუჯეტი</t>
  </si>
  <si>
    <t>ლაბორანტების რაოდენობა</t>
  </si>
  <si>
    <t>რეგისტრატორების რაოდენობა</t>
  </si>
  <si>
    <t>შრომის ანაზღაურების ფონდი 1 თვე</t>
  </si>
  <si>
    <t>შრომის ანაზღაურების ფონდი წლიური</t>
  </si>
  <si>
    <t>შრომის ანაზღაურება ლაბორანტი</t>
  </si>
  <si>
    <t>შრომის ანაზღაურება რეგისტრატორი</t>
  </si>
  <si>
    <t>მაგიდა რეგისტრატორის 2 ადგილიანი</t>
  </si>
  <si>
    <t>მაგიდა ლაბორანტის ინდივიდუალური</t>
  </si>
  <si>
    <t>ლაბორანტის სივრცის გამყოფი ჟალუზები</t>
  </si>
  <si>
    <t>რეგისტრატორის მაგიდის ღირებულება</t>
  </si>
  <si>
    <t>ლაბორანტის მაგიდის ღირებულება</t>
  </si>
  <si>
    <t>ჟალუზების ღირებულება</t>
  </si>
  <si>
    <t>სკამები</t>
  </si>
  <si>
    <t>სკამების ღირებულება</t>
  </si>
  <si>
    <t xml:space="preserve">სულ ინვენტარის ღირებულება </t>
  </si>
  <si>
    <t>კომპიუტერების საჭიროება</t>
  </si>
  <si>
    <t>კომპიუტერის ღირებულება</t>
  </si>
  <si>
    <t>პრინტერი თერმო/ჩვეულებრივი</t>
  </si>
  <si>
    <t>პრიტერის ღირებულება</t>
  </si>
  <si>
    <t>ერთი გუნდის (რეგისტრატორი/ლაბორანტი)გამტარუნარიანობა  - სკრინინგების რაოდენობა დღეში</t>
  </si>
  <si>
    <t>რეგისტრაცია წთ</t>
  </si>
  <si>
    <t>სულ ერთ ბენეფიციარზე საჭირო დრო წთ</t>
  </si>
  <si>
    <t>ერთ სამუშაო დღეში</t>
  </si>
  <si>
    <t>სკრინინგი წთ</t>
  </si>
  <si>
    <t>გუნდების რაოდენობა</t>
  </si>
  <si>
    <t>გამტარუნარიანობა დღეში</t>
  </si>
  <si>
    <t>გამტარუნარიანობა თვეში</t>
  </si>
  <si>
    <t>გამტარუნარიანობა წელისადში</t>
  </si>
  <si>
    <t>მოცვის%</t>
  </si>
  <si>
    <t>რეგისტრატორები</t>
  </si>
  <si>
    <t xml:space="preserve">ტესტები  </t>
  </si>
  <si>
    <t>სახარჯი მასალები</t>
  </si>
  <si>
    <t>ერთეულის ღირებულება</t>
  </si>
  <si>
    <t xml:space="preserve">3. </t>
  </si>
  <si>
    <t>ინვენტარი და კომპიუტერული ტექნიკა</t>
  </si>
  <si>
    <t xml:space="preserve">კომპიუტერები </t>
  </si>
  <si>
    <t>პრინტერები</t>
  </si>
  <si>
    <t>მაგიდა დიდი (რეგისტრატორის)</t>
  </si>
  <si>
    <t>მაგიდა პატარა (ლაბორნტის)</t>
  </si>
  <si>
    <t>სისხლის ასაღები სივრცის ჟალუზები</t>
  </si>
  <si>
    <t>სულ</t>
  </si>
  <si>
    <t xml:space="preserve">სულ </t>
  </si>
  <si>
    <t>სულ იუსტიციის სახლებში კვლევის ბიუჯეტი</t>
  </si>
  <si>
    <t>ვერსია 1</t>
  </si>
  <si>
    <t>ვერსია 2</t>
  </si>
  <si>
    <t>პირველ წელს საშუალო დანახარჯი ერთ სკრინინგზე</t>
  </si>
  <si>
    <t>შემდეგ წლებში საშუალო დანახარჯი ერთ სკრინინგზე</t>
  </si>
  <si>
    <t>ფიზიკურად რამდენის გატარება შეუძლია საათში?</t>
  </si>
  <si>
    <t>პროექტის შეთანხმება სამინისტროში</t>
  </si>
  <si>
    <t>საკითხები</t>
  </si>
  <si>
    <t>ვადები</t>
  </si>
  <si>
    <t>თარიღი</t>
  </si>
  <si>
    <t>კომენტარი</t>
  </si>
  <si>
    <t>შესათანხმებელია, სამინისტრო, იუსტიცია</t>
  </si>
  <si>
    <t>შესათანხმებელია დესქის და საჩხვლეტი "კაბინა" დიზაინი</t>
  </si>
  <si>
    <t>სლოგანი/პროექტი - საჯარო სივრცე ჰეპატიტის გარეშე</t>
  </si>
  <si>
    <t>გასაკეთებელია ვიდეო რგოლი, რომელიც იტრიალებს იუსტიციაში</t>
  </si>
  <si>
    <t>არ არის საჩქარო</t>
  </si>
  <si>
    <t>საინფორმაციო სისტემაში ცვლილებების შეტანა</t>
  </si>
  <si>
    <t>SOP ის გაკეთება, რომ ძალიან მოკლე დროში გაკეთდეს სკრინინგი</t>
  </si>
  <si>
    <t>პასუხისმგებელი პირი</t>
  </si>
  <si>
    <t>მიებმება სმს ძრავს და პასუხი მიუვა, რომ არ ელოდოს</t>
  </si>
  <si>
    <t>გადასაწყვეტია რომელ ლოკაციებში</t>
  </si>
  <si>
    <t>გადასაწყვეტია სად რამდენი ბრიგადა</t>
  </si>
  <si>
    <t>ასევე მოდელირება გაკეთდეს როგორ დავზოგოთ დრო</t>
  </si>
  <si>
    <t xml:space="preserve">შესაბამისი კადრების აყვანა </t>
  </si>
  <si>
    <t xml:space="preserve">შესათანხმებელია პერსონალის უნიფორმები </t>
  </si>
  <si>
    <t>მოსამზადებელია უნიფორმის დიზაინი</t>
  </si>
  <si>
    <t>მოსამზადებელია მაგიდების დიზაინი</t>
  </si>
  <si>
    <t>სამედიცინო უნივერსიტეტი მომდევნო ეტაპზე ჩავრთოთ. იუსტიციაში არის ერთგვარი სტანდარტი. ვის გამოყენებას შევძლებთ არსებული კადრებიდან</t>
  </si>
  <si>
    <t>განსასაზღვრია ვინ მოახდენს პერსონალის ყოველდღიურ მონიტორინგს</t>
  </si>
  <si>
    <t>იუსტიციაში სამუშაო საათებია 9 - 18 საათი</t>
  </si>
  <si>
    <t>მარაგების შევსება</t>
  </si>
  <si>
    <t>მუდმივი მონიტორინგი და მარაგებით მომარაგება</t>
  </si>
  <si>
    <t>უნიფორმების დამზადება/შესყიდვა</t>
  </si>
  <si>
    <t>დამზადება/შესყიდვა ავეჯის</t>
  </si>
  <si>
    <t>კომპიუტერული ტექნიკის, პრინტერების შესყიდვა</t>
  </si>
  <si>
    <t>მემორანდუმის გაფორმება</t>
  </si>
  <si>
    <t>ერთობლივი პროექტი იუსტიციის სახლებთან ერთად, ქვეყანაში ჰეპატიტის ელიმინაციის მიზნით</t>
  </si>
  <si>
    <t>ყოველთვიური ნაკადები იუსტიციის სახლებში</t>
  </si>
  <si>
    <t>იუსტიციის სახლებთან  ერთობლივი პროექტის განფასება</t>
  </si>
  <si>
    <t>ერთი გუნდის გამტარუნარიანობა დღეში</t>
  </si>
  <si>
    <t>გამტარუნარიანობა</t>
  </si>
  <si>
    <t>აღჭურვა</t>
  </si>
  <si>
    <t>ერთი გუნდის აღჭურვა</t>
  </si>
  <si>
    <t>1 brigada</t>
  </si>
  <si>
    <t>ყველა დამატებითი გუნდის აღჭრვა</t>
  </si>
  <si>
    <t>სკრინინგის ღირებულება</t>
  </si>
  <si>
    <t>ჯამური ღირებულება თვეშე</t>
  </si>
  <si>
    <t>ჯამური ღირებულება წელიწადში</t>
  </si>
  <si>
    <r>
      <rPr>
        <b/>
        <sz val="11"/>
        <color rgb="FFFF0000"/>
        <rFont val="DejaVu Sans"/>
        <family val="2"/>
      </rPr>
      <t>პირველი წელი</t>
    </r>
    <r>
      <rPr>
        <b/>
        <sz val="11"/>
        <color theme="1"/>
        <rFont val="DejaVu Sans"/>
        <family val="2"/>
      </rPr>
      <t xml:space="preserve"> - ერთი სკრინინგის ღირებულება</t>
    </r>
  </si>
  <si>
    <r>
      <rPr>
        <b/>
        <sz val="11"/>
        <color rgb="FFFF0000"/>
        <rFont val="DejaVu Sans"/>
        <family val="2"/>
      </rPr>
      <t>შემდეგი წელი</t>
    </r>
    <r>
      <rPr>
        <b/>
        <sz val="11"/>
        <color theme="1"/>
        <rFont val="DejaVu Sans"/>
        <family val="2"/>
      </rPr>
      <t xml:space="preserve"> - ერთი სკრინინგის ღირებულება</t>
    </r>
  </si>
  <si>
    <t>ღირებულება</t>
  </si>
  <si>
    <t>Semdegi weli</t>
  </si>
  <si>
    <t>ხარჯის კატეგორია</t>
  </si>
  <si>
    <r>
      <t xml:space="preserve">NCDC ში არსებულ სქემით ერთეული სკრინინგის ღირებულება - </t>
    </r>
    <r>
      <rPr>
        <sz val="14"/>
        <color rgb="FFFF0000"/>
        <rFont val="Calibri (Body)"/>
      </rPr>
      <t>გათვლები გაკეთებულია 7 თვეზე</t>
    </r>
    <r>
      <rPr>
        <sz val="14"/>
        <color theme="1"/>
        <rFont val="Calibri"/>
        <family val="2"/>
        <scheme val="minor"/>
      </rPr>
      <t xml:space="preserve"> </t>
    </r>
  </si>
  <si>
    <t>სხვაობა</t>
  </si>
  <si>
    <t>სკრინინგების რიცხვი</t>
  </si>
  <si>
    <t>მივლინებები</t>
  </si>
  <si>
    <t>საწვავი</t>
  </si>
  <si>
    <t>მანქანების ამორტიზაცია ??</t>
  </si>
  <si>
    <t>ერთერული სკრინინგის ღირებულება</t>
  </si>
  <si>
    <t>გამტარუნარიანობა წელიწადში</t>
  </si>
  <si>
    <t>მობილური მანქანის მძღოლების + ლაბორატების ხელფასები</t>
  </si>
  <si>
    <t>რეგიონების ლაბორანტების ხელფასები???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</si>
</sst>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* #,##0.00\ &quot;Lari&quot;_-;\-* #,##0.00\ &quot;Lari&quot;_-;_-* &quot;-&quot;??\ &quot;Lari&quot;_-;_-@_-"/>
    <numFmt numFmtId="165" formatCode="_-* #,##0.00\ _L_a_r_i_-;\-* #,##0.00\ _L_a_r_i_-;_-* &quot;-&quot;??\ _L_a_r_i_-;_-@_-"/>
    <numFmt numFmtId="166" formatCode="_-* #,##0.00\ [$Lari-437]_-;\-* #,##0.00\ [$Lari-437]_-;_-* &quot;-&quot;??\ [$Lari-437]_-;_-@_-"/>
    <numFmt numFmtId="167" formatCode="_-* #,##0\ _L_a_r_i_-;\-* #,##0\ _L_a_r_i_-;_-* &quot;-&quot;??\ _L_a_r_i_-;_-@_-"/>
    <numFmt numFmtId="168" formatCode="_-* #,##0.0\ _L_a_r_i_-;\-* #,##0.0\ _L_a_r_i_-;_-* &quot;-&quot;??\ _L_a_r_i_-;_-@_-"/>
    <numFmt numFmtId="169" formatCode="0.0%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DejaVu Sans"/>
      <family val="2"/>
    </font>
    <font>
      <b/>
      <sz val="11"/>
      <color theme="1"/>
      <name val="DejaVu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Sylfaen"/>
      <family val="1"/>
      <charset val="204"/>
    </font>
    <font>
      <b/>
      <sz val="11"/>
      <color theme="1"/>
      <name val="Sylfaen"/>
      <family val="1"/>
      <charset val="1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1"/>
      <color theme="1"/>
      <name val="Calibri"/>
      <family val="1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1"/>
      <charset val="204"/>
      <scheme val="minor"/>
    </font>
    <font>
      <sz val="10"/>
      <color indexed="81"/>
      <name val="Calibri"/>
    </font>
    <font>
      <b/>
      <sz val="10"/>
      <color indexed="81"/>
      <name val="Calibri"/>
    </font>
    <font>
      <b/>
      <sz val="11"/>
      <color rgb="FFFF0000"/>
      <name val="DejaVu Sans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 (Body)"/>
    </font>
    <font>
      <sz val="11"/>
      <color rgb="FFFF0000"/>
      <name val="DejaVu Sans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" fontId="9" fillId="0" borderId="1" xfId="0" quotePrefix="1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6" fontId="0" fillId="0" borderId="1" xfId="0" applyNumberFormat="1" applyBorder="1" applyAlignment="1">
      <alignment wrapText="1"/>
    </xf>
    <xf numFmtId="0" fontId="9" fillId="0" borderId="1" xfId="0" quotePrefix="1" applyNumberFormat="1" applyFont="1" applyBorder="1" applyAlignment="1">
      <alignment horizontal="right" vertical="center" wrapText="1"/>
    </xf>
    <xf numFmtId="0" fontId="0" fillId="0" borderId="1" xfId="0" applyNumberFormat="1" applyBorder="1" applyAlignment="1">
      <alignment horizontal="right" vertical="center" wrapText="1"/>
    </xf>
    <xf numFmtId="164" fontId="6" fillId="0" borderId="1" xfId="2" applyFont="1" applyBorder="1" applyAlignment="1">
      <alignment wrapText="1"/>
    </xf>
    <xf numFmtId="0" fontId="12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3" fontId="0" fillId="0" borderId="1" xfId="0" applyNumberFormat="1" applyBorder="1" applyAlignment="1">
      <alignment horizontal="left" vertical="center" wrapText="1"/>
    </xf>
    <xf numFmtId="164" fontId="0" fillId="0" borderId="1" xfId="2" applyFont="1" applyBorder="1" applyAlignment="1">
      <alignment horizontal="left" vertical="center" wrapText="1"/>
    </xf>
    <xf numFmtId="0" fontId="0" fillId="0" borderId="1" xfId="2" applyNumberFormat="1" applyFont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5" fontId="0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9" fontId="0" fillId="0" borderId="1" xfId="3" applyFont="1" applyBorder="1"/>
    <xf numFmtId="0" fontId="14" fillId="0" borderId="1" xfId="0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65" fontId="0" fillId="0" borderId="0" xfId="1" applyFont="1" applyAlignment="1">
      <alignment horizontal="right"/>
    </xf>
    <xf numFmtId="165" fontId="0" fillId="0" borderId="0" xfId="1" applyFont="1" applyAlignment="1"/>
    <xf numFmtId="0" fontId="1" fillId="0" borderId="1" xfId="0" applyFont="1" applyBorder="1" applyAlignment="1">
      <alignment horizontal="center" wrapText="1"/>
    </xf>
    <xf numFmtId="167" fontId="0" fillId="0" borderId="0" xfId="1" applyNumberFormat="1" applyFont="1"/>
    <xf numFmtId="0" fontId="17" fillId="2" borderId="0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1" fillId="0" borderId="0" xfId="0" applyFon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168" fontId="0" fillId="0" borderId="1" xfId="1" applyNumberFormat="1" applyFont="1" applyBorder="1"/>
    <xf numFmtId="167" fontId="0" fillId="0" borderId="1" xfId="1" applyNumberFormat="1" applyFont="1" applyBorder="1"/>
    <xf numFmtId="167" fontId="0" fillId="0" borderId="1" xfId="1" applyNumberFormat="1" applyFont="1" applyBorder="1" applyAlignment="1"/>
    <xf numFmtId="0" fontId="1" fillId="0" borderId="9" xfId="0" applyFont="1" applyBorder="1"/>
    <xf numFmtId="0" fontId="3" fillId="0" borderId="9" xfId="0" applyFont="1" applyFill="1" applyBorder="1" applyAlignment="1">
      <alignment horizontal="center" vertical="center"/>
    </xf>
    <xf numFmtId="167" fontId="1" fillId="0" borderId="9" xfId="1" applyNumberFormat="1" applyFont="1" applyBorder="1" applyAlignment="1"/>
    <xf numFmtId="0" fontId="20" fillId="0" borderId="0" xfId="0" applyFont="1"/>
    <xf numFmtId="0" fontId="17" fillId="2" borderId="3" xfId="0" applyFont="1" applyFill="1" applyBorder="1" applyAlignment="1">
      <alignment horizontal="center" vertical="center" wrapText="1"/>
    </xf>
    <xf numFmtId="0" fontId="21" fillId="0" borderId="0" xfId="0" applyFont="1"/>
    <xf numFmtId="167" fontId="1" fillId="0" borderId="0" xfId="1" applyNumberFormat="1" applyFont="1" applyFill="1" applyBorder="1" applyAlignment="1"/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7" fontId="0" fillId="0" borderId="10" xfId="1" applyNumberFormat="1" applyFont="1" applyFill="1" applyBorder="1" applyAlignment="1"/>
    <xf numFmtId="167" fontId="0" fillId="0" borderId="0" xfId="1" applyNumberFormat="1" applyFont="1" applyFill="1" applyBorder="1" applyAlignment="1"/>
    <xf numFmtId="164" fontId="14" fillId="5" borderId="1" xfId="0" applyNumberFormat="1" applyFont="1" applyFill="1" applyBorder="1" applyAlignment="1">
      <alignment horizontal="left" vertical="center" wrapText="1"/>
    </xf>
    <xf numFmtId="43" fontId="0" fillId="0" borderId="0" xfId="0" applyNumberFormat="1" applyAlignment="1">
      <alignment wrapText="1"/>
    </xf>
    <xf numFmtId="43" fontId="0" fillId="0" borderId="1" xfId="1" applyNumberFormat="1" applyFont="1" applyBorder="1" applyAlignment="1"/>
    <xf numFmtId="165" fontId="0" fillId="0" borderId="1" xfId="1" applyNumberFormat="1" applyFont="1" applyBorder="1"/>
    <xf numFmtId="0" fontId="17" fillId="4" borderId="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167" fontId="0" fillId="0" borderId="11" xfId="1" applyNumberFormat="1" applyFont="1" applyBorder="1" applyAlignment="1"/>
    <xf numFmtId="0" fontId="0" fillId="0" borderId="0" xfId="0" applyFill="1" applyBorder="1"/>
    <xf numFmtId="167" fontId="0" fillId="0" borderId="0" xfId="1" applyNumberFormat="1" applyFont="1" applyFill="1" applyBorder="1"/>
    <xf numFmtId="167" fontId="1" fillId="0" borderId="10" xfId="1" applyNumberFormat="1" applyFont="1" applyFill="1" applyBorder="1" applyAlignment="1"/>
    <xf numFmtId="167" fontId="0" fillId="0" borderId="12" xfId="1" applyNumberFormat="1" applyFont="1" applyBorder="1" applyAlignment="1"/>
    <xf numFmtId="0" fontId="3" fillId="4" borderId="1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1" fillId="0" borderId="1" xfId="0" applyFont="1" applyBorder="1"/>
    <xf numFmtId="0" fontId="3" fillId="0" borderId="11" xfId="0" applyFont="1" applyBorder="1" applyAlignment="1">
      <alignment horizontal="left" vertical="center"/>
    </xf>
    <xf numFmtId="167" fontId="1" fillId="0" borderId="12" xfId="1" applyNumberFormat="1" applyFont="1" applyBorder="1" applyAlignment="1"/>
    <xf numFmtId="167" fontId="1" fillId="0" borderId="11" xfId="1" applyNumberFormat="1" applyFont="1" applyBorder="1" applyAlignment="1"/>
    <xf numFmtId="167" fontId="21" fillId="0" borderId="11" xfId="1" applyNumberFormat="1" applyFont="1" applyBorder="1" applyAlignment="1"/>
    <xf numFmtId="169" fontId="21" fillId="0" borderId="0" xfId="3" applyNumberFormat="1" applyFont="1"/>
    <xf numFmtId="0" fontId="17" fillId="0" borderId="9" xfId="0" applyFont="1" applyFill="1" applyBorder="1" applyAlignment="1">
      <alignment horizontal="left" vertical="center"/>
    </xf>
    <xf numFmtId="167" fontId="14" fillId="0" borderId="9" xfId="1" applyNumberFormat="1" applyFont="1" applyBorder="1" applyAlignment="1"/>
    <xf numFmtId="168" fontId="14" fillId="0" borderId="9" xfId="1" applyNumberFormat="1" applyFont="1" applyBorder="1" applyAlignment="1"/>
    <xf numFmtId="43" fontId="21" fillId="0" borderId="0" xfId="0" applyNumberFormat="1" applyFont="1" applyAlignment="1"/>
    <xf numFmtId="0" fontId="18" fillId="0" borderId="0" xfId="0" applyFont="1"/>
    <xf numFmtId="0" fontId="0" fillId="0" borderId="1" xfId="0" applyBorder="1" applyAlignment="1">
      <alignment vertical="center"/>
    </xf>
    <xf numFmtId="167" fontId="0" fillId="0" borderId="11" xfId="1" applyNumberFormat="1" applyFont="1" applyBorder="1" applyAlignment="1">
      <alignment vertical="center"/>
    </xf>
    <xf numFmtId="167" fontId="0" fillId="0" borderId="10" xfId="1" applyNumberFormat="1" applyFont="1" applyFill="1" applyBorder="1" applyAlignment="1">
      <alignment vertical="center"/>
    </xf>
    <xf numFmtId="167" fontId="0" fillId="0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vicha%20Getia/AppData/Local/Microsoft/Windows/Temporary%20Internet%20Files/Content.IE5/LPDFEM6B/&#4317;&#4320;&#4306;&#4304;&#4316;&#4312;&#4310;&#4308;&#4305;&#4323;&#4314;&#4312;%20&#4321;&#4313;&#4320;&#4312;&#4316;&#4312;&#4316;&#4306;&#4312;&#4321;%20&#4306;&#4308;&#4306;&#4315;&#4304;-&#4306;&#4320;&#4304;&#4324;&#4312;&#4313;&#4312;%20&#4307;&#4304;%20&#4305;&#4312;&#4323;&#4335;&#4308;&#4322;&#4312;-2017&#43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ტესტები და სახარჯი მასალები"/>
      <sheetName val="საწვავი-მივლინება"/>
      <sheetName val="ბიუჯეტი"/>
    </sheetNames>
    <sheetDataSet>
      <sheetData sheetId="0" refreshError="1">
        <row r="15">
          <cell r="H15">
            <v>262487.5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0"/>
  <sheetViews>
    <sheetView tabSelected="1" workbookViewId="0">
      <selection activeCell="C1" sqref="C1"/>
    </sheetView>
  </sheetViews>
  <sheetFormatPr baseColWidth="10" defaultRowHeight="15" x14ac:dyDescent="0.2"/>
  <cols>
    <col min="1" max="1" width="4.6640625" customWidth="1"/>
    <col min="2" max="2" width="3.83203125" customWidth="1"/>
    <col min="3" max="3" width="12.5" customWidth="1"/>
    <col min="4" max="4" width="28.33203125" customWidth="1"/>
    <col min="5" max="5" width="19.33203125" customWidth="1"/>
    <col min="6" max="6" width="17" customWidth="1"/>
    <col min="7" max="7" width="21.5" customWidth="1"/>
    <col min="8" max="8" width="21.33203125" customWidth="1"/>
    <col min="9" max="9" width="20.6640625" customWidth="1"/>
  </cols>
  <sheetData>
    <row r="1" spans="2:9" s="69" customFormat="1" ht="19" x14ac:dyDescent="0.25">
      <c r="B1" s="101" t="s">
        <v>109</v>
      </c>
    </row>
    <row r="3" spans="2:9" s="54" customFormat="1" x14ac:dyDescent="0.2">
      <c r="B3" s="54" t="s">
        <v>111</v>
      </c>
    </row>
    <row r="4" spans="2:9" ht="42" x14ac:dyDescent="0.2">
      <c r="B4" s="59" t="s">
        <v>13</v>
      </c>
      <c r="C4" s="60" t="s">
        <v>12</v>
      </c>
      <c r="D4" s="60" t="s">
        <v>108</v>
      </c>
      <c r="E4" s="60" t="s">
        <v>110</v>
      </c>
      <c r="F4" s="60" t="s">
        <v>53</v>
      </c>
      <c r="G4" s="60" t="s">
        <v>54</v>
      </c>
      <c r="H4" s="60" t="s">
        <v>55</v>
      </c>
      <c r="I4" s="60" t="s">
        <v>131</v>
      </c>
    </row>
    <row r="5" spans="2:9" x14ac:dyDescent="0.2">
      <c r="B5" s="3">
        <v>1</v>
      </c>
      <c r="C5" s="1" t="s">
        <v>11</v>
      </c>
      <c r="D5" s="64">
        <v>237002</v>
      </c>
      <c r="E5" s="65">
        <f>'work sheet 2'!$G$34</f>
        <v>96</v>
      </c>
      <c r="F5" s="65">
        <v>3</v>
      </c>
      <c r="G5" s="65">
        <f>E5*F5</f>
        <v>288</v>
      </c>
      <c r="H5" s="65">
        <f>G5*21</f>
        <v>6048</v>
      </c>
      <c r="I5" s="65">
        <f>H5*12</f>
        <v>72576</v>
      </c>
    </row>
    <row r="6" spans="2:9" x14ac:dyDescent="0.2">
      <c r="B6" s="3">
        <v>2</v>
      </c>
      <c r="C6" s="1" t="s">
        <v>0</v>
      </c>
      <c r="D6" s="64">
        <v>42583</v>
      </c>
      <c r="E6" s="65">
        <f>'work sheet 2'!$G$34</f>
        <v>96</v>
      </c>
      <c r="F6" s="65">
        <v>2</v>
      </c>
      <c r="G6" s="65">
        <f t="shared" ref="G6:G16" si="0">E6*F6</f>
        <v>192</v>
      </c>
      <c r="H6" s="65">
        <f t="shared" ref="H6:H16" si="1">G6*21</f>
        <v>4032</v>
      </c>
      <c r="I6" s="65">
        <f t="shared" ref="I6:I16" si="2">H6*12</f>
        <v>48384</v>
      </c>
    </row>
    <row r="7" spans="2:9" x14ac:dyDescent="0.2">
      <c r="B7" s="3">
        <v>3</v>
      </c>
      <c r="C7" s="1" t="s">
        <v>1</v>
      </c>
      <c r="D7" s="64">
        <v>33532</v>
      </c>
      <c r="E7" s="65">
        <f>'work sheet 2'!$G$34</f>
        <v>96</v>
      </c>
      <c r="F7" s="65">
        <v>2</v>
      </c>
      <c r="G7" s="65">
        <f t="shared" si="0"/>
        <v>192</v>
      </c>
      <c r="H7" s="65">
        <f t="shared" si="1"/>
        <v>4032</v>
      </c>
      <c r="I7" s="65">
        <f t="shared" si="2"/>
        <v>48384</v>
      </c>
    </row>
    <row r="8" spans="2:9" x14ac:dyDescent="0.2">
      <c r="B8" s="3">
        <v>4</v>
      </c>
      <c r="C8" s="1" t="s">
        <v>2</v>
      </c>
      <c r="D8" s="64">
        <v>28777</v>
      </c>
      <c r="E8" s="65">
        <f>'work sheet 2'!$G$34</f>
        <v>96</v>
      </c>
      <c r="F8" s="65">
        <v>2</v>
      </c>
      <c r="G8" s="65">
        <f t="shared" si="0"/>
        <v>192</v>
      </c>
      <c r="H8" s="65">
        <f t="shared" si="1"/>
        <v>4032</v>
      </c>
      <c r="I8" s="65">
        <f t="shared" si="2"/>
        <v>48384</v>
      </c>
    </row>
    <row r="9" spans="2:9" x14ac:dyDescent="0.2">
      <c r="B9" s="3">
        <v>5</v>
      </c>
      <c r="C9" s="1" t="s">
        <v>3</v>
      </c>
      <c r="D9" s="64">
        <v>17901</v>
      </c>
      <c r="E9" s="65">
        <f>'work sheet 2'!$G$34</f>
        <v>96</v>
      </c>
      <c r="F9" s="65">
        <v>1</v>
      </c>
      <c r="G9" s="65">
        <f t="shared" si="0"/>
        <v>96</v>
      </c>
      <c r="H9" s="65">
        <f t="shared" si="1"/>
        <v>2016</v>
      </c>
      <c r="I9" s="65">
        <f t="shared" si="2"/>
        <v>24192</v>
      </c>
    </row>
    <row r="10" spans="2:9" x14ac:dyDescent="0.2">
      <c r="B10" s="3">
        <v>6</v>
      </c>
      <c r="C10" s="1" t="s">
        <v>4</v>
      </c>
      <c r="D10" s="64">
        <v>19549</v>
      </c>
      <c r="E10" s="65">
        <f>'work sheet 2'!$G$34</f>
        <v>96</v>
      </c>
      <c r="F10" s="65">
        <v>1</v>
      </c>
      <c r="G10" s="65">
        <f t="shared" si="0"/>
        <v>96</v>
      </c>
      <c r="H10" s="65">
        <f t="shared" si="1"/>
        <v>2016</v>
      </c>
      <c r="I10" s="65">
        <f t="shared" si="2"/>
        <v>24192</v>
      </c>
    </row>
    <row r="11" spans="2:9" x14ac:dyDescent="0.2">
      <c r="B11" s="3">
        <v>7</v>
      </c>
      <c r="C11" s="1" t="s">
        <v>5</v>
      </c>
      <c r="D11" s="64">
        <v>20687</v>
      </c>
      <c r="E11" s="65">
        <f>'work sheet 2'!$G$34</f>
        <v>96</v>
      </c>
      <c r="F11" s="65">
        <v>1</v>
      </c>
      <c r="G11" s="65">
        <f t="shared" si="0"/>
        <v>96</v>
      </c>
      <c r="H11" s="65">
        <f t="shared" si="1"/>
        <v>2016</v>
      </c>
      <c r="I11" s="65">
        <f t="shared" si="2"/>
        <v>24192</v>
      </c>
    </row>
    <row r="12" spans="2:9" x14ac:dyDescent="0.2">
      <c r="B12" s="3">
        <v>8</v>
      </c>
      <c r="C12" s="1" t="s">
        <v>6</v>
      </c>
      <c r="D12" s="64">
        <v>11955</v>
      </c>
      <c r="E12" s="65">
        <f>'work sheet 2'!$G$34</f>
        <v>96</v>
      </c>
      <c r="F12" s="65">
        <v>1</v>
      </c>
      <c r="G12" s="65">
        <f t="shared" si="0"/>
        <v>96</v>
      </c>
      <c r="H12" s="65">
        <f t="shared" si="1"/>
        <v>2016</v>
      </c>
      <c r="I12" s="65">
        <f t="shared" si="2"/>
        <v>24192</v>
      </c>
    </row>
    <row r="13" spans="2:9" x14ac:dyDescent="0.2">
      <c r="B13" s="3">
        <v>9</v>
      </c>
      <c r="C13" s="1" t="s">
        <v>7</v>
      </c>
      <c r="D13" s="64">
        <v>13290</v>
      </c>
      <c r="E13" s="65">
        <f>'work sheet 2'!$G$34</f>
        <v>96</v>
      </c>
      <c r="F13" s="65">
        <v>1</v>
      </c>
      <c r="G13" s="65">
        <f t="shared" si="0"/>
        <v>96</v>
      </c>
      <c r="H13" s="65">
        <f t="shared" si="1"/>
        <v>2016</v>
      </c>
      <c r="I13" s="65">
        <f t="shared" si="2"/>
        <v>24192</v>
      </c>
    </row>
    <row r="14" spans="2:9" x14ac:dyDescent="0.2">
      <c r="B14" s="3">
        <v>10</v>
      </c>
      <c r="C14" s="2" t="s">
        <v>8</v>
      </c>
      <c r="D14" s="64">
        <v>8714</v>
      </c>
      <c r="E14" s="65">
        <f>'work sheet 2'!$G$34</f>
        <v>96</v>
      </c>
      <c r="F14" s="65">
        <v>1</v>
      </c>
      <c r="G14" s="65">
        <f t="shared" si="0"/>
        <v>96</v>
      </c>
      <c r="H14" s="65">
        <f t="shared" si="1"/>
        <v>2016</v>
      </c>
      <c r="I14" s="65">
        <f t="shared" si="2"/>
        <v>24192</v>
      </c>
    </row>
    <row r="15" spans="2:9" x14ac:dyDescent="0.2">
      <c r="B15" s="3">
        <v>11</v>
      </c>
      <c r="C15" s="1" t="s">
        <v>9</v>
      </c>
      <c r="D15" s="64">
        <v>7399</v>
      </c>
      <c r="E15" s="65">
        <f>'work sheet 2'!$G$34</f>
        <v>96</v>
      </c>
      <c r="F15" s="65">
        <v>1</v>
      </c>
      <c r="G15" s="65">
        <f t="shared" si="0"/>
        <v>96</v>
      </c>
      <c r="H15" s="65">
        <f t="shared" si="1"/>
        <v>2016</v>
      </c>
      <c r="I15" s="65">
        <f t="shared" si="2"/>
        <v>24192</v>
      </c>
    </row>
    <row r="16" spans="2:9" x14ac:dyDescent="0.2">
      <c r="B16" s="3">
        <v>12</v>
      </c>
      <c r="C16" s="1" t="s">
        <v>10</v>
      </c>
      <c r="D16" s="64">
        <v>6741</v>
      </c>
      <c r="E16" s="65">
        <f>'work sheet 2'!$G$34</f>
        <v>96</v>
      </c>
      <c r="F16" s="65">
        <v>1</v>
      </c>
      <c r="G16" s="65">
        <f t="shared" si="0"/>
        <v>96</v>
      </c>
      <c r="H16" s="65">
        <f t="shared" si="1"/>
        <v>2016</v>
      </c>
      <c r="I16" s="65">
        <f t="shared" si="2"/>
        <v>24192</v>
      </c>
    </row>
    <row r="17" spans="2:9" s="54" customFormat="1" x14ac:dyDescent="0.2">
      <c r="B17" s="66"/>
      <c r="C17" s="67" t="s">
        <v>69</v>
      </c>
      <c r="D17" s="68">
        <f>SUM(D5:D16)</f>
        <v>448130</v>
      </c>
      <c r="E17" s="68"/>
      <c r="F17" s="68"/>
      <c r="G17" s="68">
        <f>SUM(G5:G16)</f>
        <v>1632</v>
      </c>
      <c r="H17" s="68">
        <f>SUM(H5:H16)</f>
        <v>34272</v>
      </c>
      <c r="I17" s="68">
        <f>SUM(I5:I16)</f>
        <v>411264</v>
      </c>
    </row>
    <row r="21" spans="2:9" s="54" customFormat="1" x14ac:dyDescent="0.2">
      <c r="B21" s="54" t="s">
        <v>112</v>
      </c>
    </row>
    <row r="22" spans="2:9" ht="28" x14ac:dyDescent="0.2">
      <c r="B22" s="59" t="s">
        <v>13</v>
      </c>
      <c r="C22" s="60" t="s">
        <v>12</v>
      </c>
      <c r="D22" s="60" t="s">
        <v>113</v>
      </c>
      <c r="E22" s="60" t="s">
        <v>115</v>
      </c>
      <c r="F22" s="60" t="s">
        <v>53</v>
      </c>
      <c r="G22" s="60" t="s">
        <v>70</v>
      </c>
      <c r="H22" s="73"/>
      <c r="I22" s="74"/>
    </row>
    <row r="23" spans="2:9" x14ac:dyDescent="0.2">
      <c r="B23" s="3">
        <v>1</v>
      </c>
      <c r="C23" s="1" t="s">
        <v>11</v>
      </c>
      <c r="D23" s="64">
        <v>2000</v>
      </c>
      <c r="E23" s="65">
        <f>D23-400</f>
        <v>1600</v>
      </c>
      <c r="F23" s="65">
        <v>3</v>
      </c>
      <c r="G23" s="65">
        <f>D23+(E23*F23)-E23</f>
        <v>5200</v>
      </c>
      <c r="H23" s="75"/>
      <c r="I23" s="76"/>
    </row>
    <row r="24" spans="2:9" x14ac:dyDescent="0.2">
      <c r="B24" s="3">
        <v>2</v>
      </c>
      <c r="C24" s="1" t="s">
        <v>0</v>
      </c>
      <c r="D24" s="64">
        <v>2000</v>
      </c>
      <c r="E24" s="65">
        <f t="shared" ref="E24:E34" si="3">D24-400</f>
        <v>1600</v>
      </c>
      <c r="F24" s="65">
        <v>2</v>
      </c>
      <c r="G24" s="65">
        <f t="shared" ref="G24:G34" si="4">D24+(E24*F24)-E24</f>
        <v>3600</v>
      </c>
      <c r="H24" s="75"/>
      <c r="I24" s="76"/>
    </row>
    <row r="25" spans="2:9" x14ac:dyDescent="0.2">
      <c r="B25" s="3">
        <v>3</v>
      </c>
      <c r="C25" s="1" t="s">
        <v>1</v>
      </c>
      <c r="D25" s="64">
        <v>2000</v>
      </c>
      <c r="E25" s="65">
        <f t="shared" si="3"/>
        <v>1600</v>
      </c>
      <c r="F25" s="65">
        <v>2</v>
      </c>
      <c r="G25" s="65">
        <f t="shared" si="4"/>
        <v>3600</v>
      </c>
      <c r="H25" s="75"/>
      <c r="I25" s="76"/>
    </row>
    <row r="26" spans="2:9" x14ac:dyDescent="0.2">
      <c r="B26" s="3">
        <v>4</v>
      </c>
      <c r="C26" s="1" t="s">
        <v>2</v>
      </c>
      <c r="D26" s="64">
        <v>2000</v>
      </c>
      <c r="E26" s="65">
        <f t="shared" si="3"/>
        <v>1600</v>
      </c>
      <c r="F26" s="65">
        <v>2</v>
      </c>
      <c r="G26" s="65">
        <f t="shared" si="4"/>
        <v>3600</v>
      </c>
      <c r="H26" s="75"/>
      <c r="I26" s="76"/>
    </row>
    <row r="27" spans="2:9" x14ac:dyDescent="0.2">
      <c r="B27" s="3">
        <v>5</v>
      </c>
      <c r="C27" s="1" t="s">
        <v>3</v>
      </c>
      <c r="D27" s="64">
        <v>2000</v>
      </c>
      <c r="E27" s="65">
        <f t="shared" si="3"/>
        <v>1600</v>
      </c>
      <c r="F27" s="65">
        <v>1</v>
      </c>
      <c r="G27" s="65">
        <f t="shared" si="4"/>
        <v>2000</v>
      </c>
      <c r="H27" s="75"/>
      <c r="I27" s="76"/>
    </row>
    <row r="28" spans="2:9" x14ac:dyDescent="0.2">
      <c r="B28" s="3">
        <v>6</v>
      </c>
      <c r="C28" s="1" t="s">
        <v>4</v>
      </c>
      <c r="D28" s="64">
        <v>2000</v>
      </c>
      <c r="E28" s="65">
        <f t="shared" si="3"/>
        <v>1600</v>
      </c>
      <c r="F28" s="65">
        <v>1</v>
      </c>
      <c r="G28" s="65">
        <f t="shared" si="4"/>
        <v>2000</v>
      </c>
      <c r="H28" s="75"/>
      <c r="I28" s="76"/>
    </row>
    <row r="29" spans="2:9" x14ac:dyDescent="0.2">
      <c r="B29" s="3">
        <v>7</v>
      </c>
      <c r="C29" s="1" t="s">
        <v>5</v>
      </c>
      <c r="D29" s="64">
        <v>2000</v>
      </c>
      <c r="E29" s="65">
        <f t="shared" si="3"/>
        <v>1600</v>
      </c>
      <c r="F29" s="65">
        <v>1</v>
      </c>
      <c r="G29" s="65">
        <f t="shared" si="4"/>
        <v>2000</v>
      </c>
      <c r="H29" s="75"/>
      <c r="I29" s="76"/>
    </row>
    <row r="30" spans="2:9" x14ac:dyDescent="0.2">
      <c r="B30" s="3">
        <v>8</v>
      </c>
      <c r="C30" s="1" t="s">
        <v>6</v>
      </c>
      <c r="D30" s="64">
        <v>2000</v>
      </c>
      <c r="E30" s="65">
        <f t="shared" si="3"/>
        <v>1600</v>
      </c>
      <c r="F30" s="65">
        <v>1</v>
      </c>
      <c r="G30" s="65">
        <f t="shared" si="4"/>
        <v>2000</v>
      </c>
      <c r="H30" s="75"/>
      <c r="I30" s="76"/>
    </row>
    <row r="31" spans="2:9" x14ac:dyDescent="0.2">
      <c r="B31" s="3">
        <v>9</v>
      </c>
      <c r="C31" s="1" t="s">
        <v>7</v>
      </c>
      <c r="D31" s="64">
        <v>2000</v>
      </c>
      <c r="E31" s="65">
        <f t="shared" si="3"/>
        <v>1600</v>
      </c>
      <c r="F31" s="65">
        <v>1</v>
      </c>
      <c r="G31" s="65">
        <f t="shared" si="4"/>
        <v>2000</v>
      </c>
      <c r="H31" s="75"/>
      <c r="I31" s="76"/>
    </row>
    <row r="32" spans="2:9" x14ac:dyDescent="0.2">
      <c r="B32" s="3">
        <v>10</v>
      </c>
      <c r="C32" s="2" t="s">
        <v>8</v>
      </c>
      <c r="D32" s="64">
        <v>2000</v>
      </c>
      <c r="E32" s="65">
        <f t="shared" si="3"/>
        <v>1600</v>
      </c>
      <c r="F32" s="65">
        <v>1</v>
      </c>
      <c r="G32" s="65">
        <f t="shared" si="4"/>
        <v>2000</v>
      </c>
      <c r="H32" s="75"/>
      <c r="I32" s="76"/>
    </row>
    <row r="33" spans="2:9" x14ac:dyDescent="0.2">
      <c r="B33" s="3">
        <v>11</v>
      </c>
      <c r="C33" s="1" t="s">
        <v>9</v>
      </c>
      <c r="D33" s="64">
        <v>2000</v>
      </c>
      <c r="E33" s="65">
        <f t="shared" si="3"/>
        <v>1600</v>
      </c>
      <c r="F33" s="65">
        <v>1</v>
      </c>
      <c r="G33" s="65">
        <f t="shared" si="4"/>
        <v>2000</v>
      </c>
      <c r="H33" s="75"/>
      <c r="I33" s="76"/>
    </row>
    <row r="34" spans="2:9" x14ac:dyDescent="0.2">
      <c r="B34" s="3">
        <v>12</v>
      </c>
      <c r="C34" s="1" t="s">
        <v>10</v>
      </c>
      <c r="D34" s="64">
        <v>2000</v>
      </c>
      <c r="E34" s="65">
        <f t="shared" si="3"/>
        <v>1600</v>
      </c>
      <c r="F34" s="65">
        <v>1</v>
      </c>
      <c r="G34" s="65">
        <f t="shared" si="4"/>
        <v>2000</v>
      </c>
      <c r="H34" s="75"/>
      <c r="I34" s="76"/>
    </row>
    <row r="35" spans="2:9" s="54" customFormat="1" x14ac:dyDescent="0.2">
      <c r="B35" s="66"/>
      <c r="C35" s="67" t="s">
        <v>69</v>
      </c>
      <c r="D35" s="68">
        <f>SUM(D23:D34)</f>
        <v>24000</v>
      </c>
      <c r="E35" s="68">
        <f>SUM(E23:E34)</f>
        <v>19200</v>
      </c>
      <c r="F35" s="68">
        <f>SUM(F23:F34)</f>
        <v>17</v>
      </c>
      <c r="G35" s="68">
        <f>SUM(G23:G34)</f>
        <v>32000</v>
      </c>
      <c r="H35" s="72"/>
      <c r="I35" s="72"/>
    </row>
    <row r="39" spans="2:9" x14ac:dyDescent="0.2">
      <c r="B39" s="54" t="s">
        <v>116</v>
      </c>
      <c r="C39" s="54"/>
      <c r="D39" s="54"/>
      <c r="E39" s="54"/>
      <c r="F39" s="54"/>
      <c r="G39" s="54"/>
    </row>
    <row r="40" spans="2:9" ht="42" x14ac:dyDescent="0.2">
      <c r="B40" s="59" t="s">
        <v>13</v>
      </c>
      <c r="C40" s="60" t="s">
        <v>12</v>
      </c>
      <c r="D40" s="60" t="s">
        <v>119</v>
      </c>
      <c r="E40" s="60" t="s">
        <v>117</v>
      </c>
      <c r="F40" s="60" t="s">
        <v>118</v>
      </c>
      <c r="G40" s="60" t="s">
        <v>120</v>
      </c>
      <c r="H40" s="60" t="s">
        <v>117</v>
      </c>
      <c r="I40" s="60" t="s">
        <v>118</v>
      </c>
    </row>
    <row r="41" spans="2:9" x14ac:dyDescent="0.2">
      <c r="B41" s="3">
        <v>1</v>
      </c>
      <c r="C41" s="1" t="s">
        <v>11</v>
      </c>
      <c r="D41" s="63">
        <f>'work sheet 1'!$F$24</f>
        <v>1.7995436021630875</v>
      </c>
      <c r="E41" s="65">
        <f>H5*D41</f>
        <v>10883.639705882353</v>
      </c>
      <c r="F41" s="79">
        <f>E41*12</f>
        <v>130603.67647058824</v>
      </c>
      <c r="G41" s="80">
        <f>'work sheet 1'!$I26</f>
        <v>1.733162883208839</v>
      </c>
      <c r="H41" s="65">
        <f>H5*G41</f>
        <v>10482.169117647058</v>
      </c>
      <c r="I41" s="79">
        <f>H41*12</f>
        <v>125786.0294117647</v>
      </c>
    </row>
    <row r="42" spans="2:9" x14ac:dyDescent="0.2">
      <c r="B42" s="3">
        <v>2</v>
      </c>
      <c r="C42" s="1" t="s">
        <v>0</v>
      </c>
      <c r="D42" s="63">
        <f>'work sheet 1'!$F$24</f>
        <v>1.7995436021630875</v>
      </c>
      <c r="E42" s="65">
        <f t="shared" ref="E42:E52" si="5">H6*D42</f>
        <v>7255.7598039215691</v>
      </c>
      <c r="F42" s="79">
        <f t="shared" ref="F42:F52" si="6">E42*12</f>
        <v>87069.117647058825</v>
      </c>
      <c r="G42" s="80">
        <f>$G$41</f>
        <v>1.733162883208839</v>
      </c>
      <c r="H42" s="65">
        <f t="shared" ref="H42:H52" si="7">H6*G42</f>
        <v>6988.1127450980393</v>
      </c>
      <c r="I42" s="79">
        <f t="shared" ref="I42:I52" si="8">H42*12</f>
        <v>83857.352941176476</v>
      </c>
    </row>
    <row r="43" spans="2:9" x14ac:dyDescent="0.2">
      <c r="B43" s="3">
        <v>3</v>
      </c>
      <c r="C43" s="1" t="s">
        <v>1</v>
      </c>
      <c r="D43" s="63">
        <f>'work sheet 1'!$F$24</f>
        <v>1.7995436021630875</v>
      </c>
      <c r="E43" s="65">
        <f t="shared" si="5"/>
        <v>7255.7598039215691</v>
      </c>
      <c r="F43" s="79">
        <f t="shared" si="6"/>
        <v>87069.117647058825</v>
      </c>
      <c r="G43" s="80">
        <f t="shared" ref="G43:G52" si="9">$G$41</f>
        <v>1.733162883208839</v>
      </c>
      <c r="H43" s="65">
        <f t="shared" si="7"/>
        <v>6988.1127450980393</v>
      </c>
      <c r="I43" s="79">
        <f t="shared" si="8"/>
        <v>83857.352941176476</v>
      </c>
    </row>
    <row r="44" spans="2:9" x14ac:dyDescent="0.2">
      <c r="B44" s="3">
        <v>4</v>
      </c>
      <c r="C44" s="1" t="s">
        <v>2</v>
      </c>
      <c r="D44" s="63">
        <f>'work sheet 1'!$F$24</f>
        <v>1.7995436021630875</v>
      </c>
      <c r="E44" s="65">
        <f t="shared" si="5"/>
        <v>7255.7598039215691</v>
      </c>
      <c r="F44" s="79">
        <f t="shared" si="6"/>
        <v>87069.117647058825</v>
      </c>
      <c r="G44" s="80">
        <f t="shared" si="9"/>
        <v>1.733162883208839</v>
      </c>
      <c r="H44" s="65">
        <f t="shared" si="7"/>
        <v>6988.1127450980393</v>
      </c>
      <c r="I44" s="79">
        <f t="shared" si="8"/>
        <v>83857.352941176476</v>
      </c>
    </row>
    <row r="45" spans="2:9" x14ac:dyDescent="0.2">
      <c r="B45" s="3">
        <v>5</v>
      </c>
      <c r="C45" s="1" t="s">
        <v>3</v>
      </c>
      <c r="D45" s="63">
        <f>'work sheet 1'!$F$24</f>
        <v>1.7995436021630875</v>
      </c>
      <c r="E45" s="65">
        <f t="shared" si="5"/>
        <v>3627.8799019607845</v>
      </c>
      <c r="F45" s="79">
        <f t="shared" si="6"/>
        <v>43534.558823529413</v>
      </c>
      <c r="G45" s="80">
        <f t="shared" si="9"/>
        <v>1.733162883208839</v>
      </c>
      <c r="H45" s="65">
        <f t="shared" si="7"/>
        <v>3494.0563725490197</v>
      </c>
      <c r="I45" s="79">
        <f t="shared" si="8"/>
        <v>41928.676470588238</v>
      </c>
    </row>
    <row r="46" spans="2:9" x14ac:dyDescent="0.2">
      <c r="B46" s="3">
        <v>6</v>
      </c>
      <c r="C46" s="1" t="s">
        <v>4</v>
      </c>
      <c r="D46" s="63">
        <f>'work sheet 1'!$F$24</f>
        <v>1.7995436021630875</v>
      </c>
      <c r="E46" s="65">
        <f t="shared" si="5"/>
        <v>3627.8799019607845</v>
      </c>
      <c r="F46" s="79">
        <f t="shared" si="6"/>
        <v>43534.558823529413</v>
      </c>
      <c r="G46" s="80">
        <f t="shared" si="9"/>
        <v>1.733162883208839</v>
      </c>
      <c r="H46" s="65">
        <f t="shared" si="7"/>
        <v>3494.0563725490197</v>
      </c>
      <c r="I46" s="79">
        <f t="shared" si="8"/>
        <v>41928.676470588238</v>
      </c>
    </row>
    <row r="47" spans="2:9" x14ac:dyDescent="0.2">
      <c r="B47" s="3">
        <v>7</v>
      </c>
      <c r="C47" s="1" t="s">
        <v>5</v>
      </c>
      <c r="D47" s="63">
        <f>'work sheet 1'!$F$24</f>
        <v>1.7995436021630875</v>
      </c>
      <c r="E47" s="65">
        <f t="shared" si="5"/>
        <v>3627.8799019607845</v>
      </c>
      <c r="F47" s="79">
        <f t="shared" si="6"/>
        <v>43534.558823529413</v>
      </c>
      <c r="G47" s="80">
        <f t="shared" si="9"/>
        <v>1.733162883208839</v>
      </c>
      <c r="H47" s="65">
        <f t="shared" si="7"/>
        <v>3494.0563725490197</v>
      </c>
      <c r="I47" s="79">
        <f t="shared" si="8"/>
        <v>41928.676470588238</v>
      </c>
    </row>
    <row r="48" spans="2:9" x14ac:dyDescent="0.2">
      <c r="B48" s="3">
        <v>8</v>
      </c>
      <c r="C48" s="1" t="s">
        <v>6</v>
      </c>
      <c r="D48" s="63">
        <f>'work sheet 1'!$F$24</f>
        <v>1.7995436021630875</v>
      </c>
      <c r="E48" s="65">
        <f t="shared" si="5"/>
        <v>3627.8799019607845</v>
      </c>
      <c r="F48" s="79">
        <f t="shared" si="6"/>
        <v>43534.558823529413</v>
      </c>
      <c r="G48" s="80">
        <f t="shared" si="9"/>
        <v>1.733162883208839</v>
      </c>
      <c r="H48" s="65">
        <f t="shared" si="7"/>
        <v>3494.0563725490197</v>
      </c>
      <c r="I48" s="79">
        <f t="shared" si="8"/>
        <v>41928.676470588238</v>
      </c>
    </row>
    <row r="49" spans="2:9" x14ac:dyDescent="0.2">
      <c r="B49" s="3">
        <v>9</v>
      </c>
      <c r="C49" s="1" t="s">
        <v>7</v>
      </c>
      <c r="D49" s="63">
        <f>'work sheet 1'!$F$24</f>
        <v>1.7995436021630875</v>
      </c>
      <c r="E49" s="65">
        <f t="shared" si="5"/>
        <v>3627.8799019607845</v>
      </c>
      <c r="F49" s="79">
        <f t="shared" si="6"/>
        <v>43534.558823529413</v>
      </c>
      <c r="G49" s="80">
        <f t="shared" si="9"/>
        <v>1.733162883208839</v>
      </c>
      <c r="H49" s="65">
        <f t="shared" si="7"/>
        <v>3494.0563725490197</v>
      </c>
      <c r="I49" s="79">
        <f t="shared" si="8"/>
        <v>41928.676470588238</v>
      </c>
    </row>
    <row r="50" spans="2:9" x14ac:dyDescent="0.2">
      <c r="B50" s="3">
        <v>10</v>
      </c>
      <c r="C50" s="2" t="s">
        <v>8</v>
      </c>
      <c r="D50" s="63">
        <f>'work sheet 1'!$F$24</f>
        <v>1.7995436021630875</v>
      </c>
      <c r="E50" s="65">
        <f t="shared" si="5"/>
        <v>3627.8799019607845</v>
      </c>
      <c r="F50" s="79">
        <f t="shared" si="6"/>
        <v>43534.558823529413</v>
      </c>
      <c r="G50" s="80">
        <f t="shared" si="9"/>
        <v>1.733162883208839</v>
      </c>
      <c r="H50" s="65">
        <f t="shared" si="7"/>
        <v>3494.0563725490197</v>
      </c>
      <c r="I50" s="79">
        <f t="shared" si="8"/>
        <v>41928.676470588238</v>
      </c>
    </row>
    <row r="51" spans="2:9" x14ac:dyDescent="0.2">
      <c r="B51" s="3">
        <v>11</v>
      </c>
      <c r="C51" s="1" t="s">
        <v>9</v>
      </c>
      <c r="D51" s="63">
        <f>'work sheet 1'!$F$24</f>
        <v>1.7995436021630875</v>
      </c>
      <c r="E51" s="65">
        <f t="shared" si="5"/>
        <v>3627.8799019607845</v>
      </c>
      <c r="F51" s="79">
        <f t="shared" si="6"/>
        <v>43534.558823529413</v>
      </c>
      <c r="G51" s="80">
        <f t="shared" si="9"/>
        <v>1.733162883208839</v>
      </c>
      <c r="H51" s="65">
        <f t="shared" si="7"/>
        <v>3494.0563725490197</v>
      </c>
      <c r="I51" s="79">
        <f t="shared" si="8"/>
        <v>41928.676470588238</v>
      </c>
    </row>
    <row r="52" spans="2:9" x14ac:dyDescent="0.2">
      <c r="B52" s="3">
        <v>12</v>
      </c>
      <c r="C52" s="1" t="s">
        <v>10</v>
      </c>
      <c r="D52" s="63">
        <f>'work sheet 1'!$F$24</f>
        <v>1.7995436021630875</v>
      </c>
      <c r="E52" s="65">
        <f t="shared" si="5"/>
        <v>3627.8799019607845</v>
      </c>
      <c r="F52" s="79">
        <f t="shared" si="6"/>
        <v>43534.558823529413</v>
      </c>
      <c r="G52" s="80">
        <f t="shared" si="9"/>
        <v>1.733162883208839</v>
      </c>
      <c r="H52" s="65">
        <f t="shared" si="7"/>
        <v>3494.0563725490197</v>
      </c>
      <c r="I52" s="79">
        <f t="shared" si="8"/>
        <v>41928.676470588238</v>
      </c>
    </row>
    <row r="53" spans="2:9" x14ac:dyDescent="0.2">
      <c r="B53" s="66"/>
      <c r="C53" s="67" t="s">
        <v>69</v>
      </c>
      <c r="D53" s="68"/>
      <c r="E53" s="68">
        <f>SUM(E41:E52)</f>
        <v>61673.958333333328</v>
      </c>
      <c r="F53" s="68">
        <f>SUM(F41:F52)</f>
        <v>740087.49999999988</v>
      </c>
      <c r="G53" s="68"/>
      <c r="H53" s="68">
        <f>SUM(H41:H52)</f>
        <v>59398.958333333343</v>
      </c>
      <c r="I53" s="68">
        <f>SUM(I41:I52)</f>
        <v>712787.49999999988</v>
      </c>
    </row>
    <row r="56" spans="2:9" ht="19" x14ac:dyDescent="0.25">
      <c r="B56" s="69" t="s">
        <v>124</v>
      </c>
    </row>
    <row r="57" spans="2:9" x14ac:dyDescent="0.2">
      <c r="B57" s="59" t="s">
        <v>13</v>
      </c>
      <c r="C57" s="88" t="s">
        <v>123</v>
      </c>
      <c r="D57" s="81"/>
      <c r="E57" s="82" t="s">
        <v>121</v>
      </c>
      <c r="F57" s="73"/>
      <c r="G57" s="74"/>
      <c r="H57" s="84"/>
    </row>
    <row r="58" spans="2:9" x14ac:dyDescent="0.2">
      <c r="B58" s="3">
        <v>1</v>
      </c>
      <c r="C58" s="89" t="s">
        <v>126</v>
      </c>
      <c r="D58" s="87"/>
      <c r="E58" s="83">
        <v>29500</v>
      </c>
      <c r="F58" s="75"/>
      <c r="G58" s="85"/>
      <c r="H58" s="84"/>
    </row>
    <row r="59" spans="2:9" s="107" customFormat="1" ht="38" customHeight="1" x14ac:dyDescent="0.2">
      <c r="B59" s="102">
        <v>2</v>
      </c>
      <c r="C59" s="108" t="s">
        <v>132</v>
      </c>
      <c r="D59" s="109"/>
      <c r="E59" s="103">
        <v>37250</v>
      </c>
      <c r="F59" s="104"/>
      <c r="G59" s="105"/>
      <c r="H59" s="106"/>
    </row>
    <row r="60" spans="2:9" x14ac:dyDescent="0.2">
      <c r="B60" s="3">
        <v>3</v>
      </c>
      <c r="C60" s="89" t="s">
        <v>127</v>
      </c>
      <c r="D60" s="87"/>
      <c r="E60" s="83">
        <v>4592</v>
      </c>
      <c r="F60" s="75"/>
      <c r="G60" s="85"/>
      <c r="H60" s="84"/>
    </row>
    <row r="61" spans="2:9" x14ac:dyDescent="0.2">
      <c r="B61" s="3">
        <v>4</v>
      </c>
      <c r="C61" s="89" t="s">
        <v>128</v>
      </c>
      <c r="D61" s="87"/>
      <c r="E61" s="83">
        <v>3950</v>
      </c>
      <c r="F61" s="75"/>
      <c r="G61" s="85"/>
      <c r="H61" s="84"/>
    </row>
    <row r="62" spans="2:9" x14ac:dyDescent="0.2">
      <c r="B62" s="3">
        <v>5</v>
      </c>
      <c r="C62" s="89" t="s">
        <v>27</v>
      </c>
      <c r="D62" s="87"/>
      <c r="E62" s="83">
        <v>45430</v>
      </c>
      <c r="F62" s="75"/>
      <c r="G62" s="85"/>
      <c r="H62" s="84"/>
    </row>
    <row r="63" spans="2:9" x14ac:dyDescent="0.2">
      <c r="B63" s="3">
        <v>6</v>
      </c>
      <c r="C63" s="90" t="s">
        <v>133</v>
      </c>
      <c r="D63" s="87"/>
      <c r="E63" s="95"/>
      <c r="F63" s="75"/>
      <c r="G63" s="85"/>
      <c r="H63" s="84"/>
    </row>
    <row r="64" spans="2:9" x14ac:dyDescent="0.2">
      <c r="B64" s="3">
        <v>7</v>
      </c>
      <c r="C64" s="90" t="s">
        <v>129</v>
      </c>
      <c r="D64" s="87"/>
      <c r="E64" s="95"/>
      <c r="F64" s="75"/>
      <c r="G64" s="85"/>
      <c r="H64" s="84"/>
    </row>
    <row r="65" spans="2:8" x14ac:dyDescent="0.2">
      <c r="B65" s="91"/>
      <c r="C65" s="92" t="s">
        <v>69</v>
      </c>
      <c r="D65" s="93"/>
      <c r="E65" s="94">
        <f>SUM(E59:E64)</f>
        <v>91222</v>
      </c>
      <c r="F65" s="75"/>
      <c r="G65" s="85"/>
      <c r="H65" s="84"/>
    </row>
    <row r="66" spans="2:8" x14ac:dyDescent="0.2">
      <c r="B66" s="66"/>
      <c r="C66" s="97" t="s">
        <v>130</v>
      </c>
      <c r="D66" s="98"/>
      <c r="E66" s="99">
        <f>E65/E58</f>
        <v>3.0922711864406778</v>
      </c>
      <c r="F66" s="86"/>
      <c r="G66" s="72"/>
      <c r="H66" s="84"/>
    </row>
    <row r="67" spans="2:8" x14ac:dyDescent="0.2">
      <c r="C67" s="71" t="s">
        <v>125</v>
      </c>
      <c r="D67" s="71"/>
      <c r="E67" s="100">
        <f>E66-D52</f>
        <v>1.2927275842775903</v>
      </c>
    </row>
    <row r="68" spans="2:8" x14ac:dyDescent="0.2">
      <c r="C68" s="71" t="s">
        <v>125</v>
      </c>
      <c r="D68" s="71"/>
      <c r="E68" s="96">
        <f>E67/E66</f>
        <v>0.41805116897446792</v>
      </c>
    </row>
    <row r="70" spans="2:8" x14ac:dyDescent="0.2">
      <c r="C70" s="54"/>
    </row>
  </sheetData>
  <mergeCells count="1">
    <mergeCell ref="C59:D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topLeftCell="A10" zoomScale="110" zoomScaleNormal="110" zoomScalePageLayoutView="110" workbookViewId="0">
      <selection activeCell="B28" sqref="B28"/>
    </sheetView>
  </sheetViews>
  <sheetFormatPr baseColWidth="10" defaultRowHeight="15" x14ac:dyDescent="0.2"/>
  <cols>
    <col min="1" max="1" width="2.6640625" style="55" customWidth="1"/>
    <col min="2" max="2" width="53.6640625" style="55" bestFit="1" customWidth="1"/>
    <col min="3" max="3" width="10.5" style="55" customWidth="1"/>
    <col min="4" max="4" width="12.6640625" style="55" customWidth="1"/>
    <col min="5" max="5" width="14.33203125" style="55" customWidth="1"/>
    <col min="6" max="6" width="29.6640625" style="55" customWidth="1"/>
    <col min="7" max="16384" width="10.83203125" style="55"/>
  </cols>
  <sheetData>
    <row r="1" spans="2:6" ht="19" x14ac:dyDescent="0.2">
      <c r="B1" s="57" t="s">
        <v>107</v>
      </c>
    </row>
    <row r="3" spans="2:6" s="56" customFormat="1" ht="30" x14ac:dyDescent="0.2">
      <c r="B3" s="58" t="s">
        <v>78</v>
      </c>
      <c r="C3" s="58" t="s">
        <v>80</v>
      </c>
      <c r="D3" s="58" t="s">
        <v>79</v>
      </c>
      <c r="E3" s="58" t="s">
        <v>89</v>
      </c>
      <c r="F3" s="58" t="s">
        <v>81</v>
      </c>
    </row>
    <row r="4" spans="2:6" s="62" customFormat="1" ht="28" x14ac:dyDescent="0.2">
      <c r="B4" s="61" t="s">
        <v>84</v>
      </c>
      <c r="C4" s="61"/>
      <c r="D4" s="61"/>
      <c r="E4" s="61"/>
      <c r="F4" s="61" t="s">
        <v>82</v>
      </c>
    </row>
    <row r="5" spans="2:6" s="62" customFormat="1" ht="14" x14ac:dyDescent="0.2">
      <c r="B5" s="61" t="s">
        <v>96</v>
      </c>
      <c r="C5" s="61"/>
      <c r="D5" s="61"/>
      <c r="E5" s="61"/>
      <c r="F5" s="61"/>
    </row>
    <row r="6" spans="2:6" s="62" customFormat="1" ht="28" x14ac:dyDescent="0.2">
      <c r="B6" s="61" t="s">
        <v>95</v>
      </c>
      <c r="C6" s="61"/>
      <c r="D6" s="61"/>
      <c r="E6" s="61"/>
      <c r="F6" s="61" t="s">
        <v>82</v>
      </c>
    </row>
    <row r="7" spans="2:6" s="62" customFormat="1" ht="14" x14ac:dyDescent="0.2">
      <c r="B7" s="61" t="s">
        <v>103</v>
      </c>
      <c r="C7" s="61"/>
      <c r="D7" s="61"/>
      <c r="E7" s="61"/>
      <c r="F7" s="61"/>
    </row>
    <row r="8" spans="2:6" s="62" customFormat="1" ht="14" x14ac:dyDescent="0.2">
      <c r="B8" s="61" t="s">
        <v>97</v>
      </c>
      <c r="C8" s="61"/>
      <c r="D8" s="61"/>
      <c r="E8" s="61"/>
      <c r="F8" s="61"/>
    </row>
    <row r="9" spans="2:6" s="62" customFormat="1" ht="28" x14ac:dyDescent="0.2">
      <c r="B9" s="61" t="s">
        <v>83</v>
      </c>
      <c r="C9" s="61"/>
      <c r="D9" s="61"/>
      <c r="E9" s="61"/>
      <c r="F9" s="61" t="s">
        <v>82</v>
      </c>
    </row>
    <row r="10" spans="2:6" s="62" customFormat="1" ht="14" x14ac:dyDescent="0.2">
      <c r="B10" s="61" t="s">
        <v>104</v>
      </c>
      <c r="C10" s="61"/>
      <c r="D10" s="61"/>
      <c r="E10" s="61"/>
      <c r="F10" s="61"/>
    </row>
    <row r="11" spans="2:6" s="62" customFormat="1" ht="28" x14ac:dyDescent="0.2">
      <c r="B11" s="61" t="s">
        <v>85</v>
      </c>
      <c r="C11" s="61"/>
      <c r="D11" s="61"/>
      <c r="E11" s="61"/>
      <c r="F11" s="61" t="s">
        <v>86</v>
      </c>
    </row>
    <row r="12" spans="2:6" s="62" customFormat="1" ht="28" x14ac:dyDescent="0.2">
      <c r="B12" s="61" t="s">
        <v>88</v>
      </c>
      <c r="C12" s="61"/>
      <c r="D12" s="61"/>
      <c r="E12" s="61"/>
      <c r="F12" s="61" t="s">
        <v>93</v>
      </c>
    </row>
    <row r="13" spans="2:6" s="62" customFormat="1" ht="28" x14ac:dyDescent="0.2">
      <c r="B13" s="61" t="s">
        <v>87</v>
      </c>
      <c r="C13" s="61"/>
      <c r="D13" s="61"/>
      <c r="E13" s="61"/>
      <c r="F13" s="61" t="s">
        <v>90</v>
      </c>
    </row>
    <row r="14" spans="2:6" s="62" customFormat="1" ht="14" x14ac:dyDescent="0.2">
      <c r="B14" s="61" t="s">
        <v>91</v>
      </c>
      <c r="C14" s="61"/>
      <c r="D14" s="61"/>
      <c r="E14" s="61"/>
      <c r="F14" s="61"/>
    </row>
    <row r="15" spans="2:6" s="62" customFormat="1" ht="14" x14ac:dyDescent="0.2">
      <c r="B15" s="61" t="s">
        <v>92</v>
      </c>
      <c r="C15" s="61"/>
      <c r="D15" s="61"/>
      <c r="E15" s="61"/>
      <c r="F15" s="61"/>
    </row>
    <row r="16" spans="2:6" s="62" customFormat="1" ht="61" customHeight="1" x14ac:dyDescent="0.2">
      <c r="B16" s="61" t="s">
        <v>94</v>
      </c>
      <c r="C16" s="61"/>
      <c r="D16" s="61"/>
      <c r="E16" s="61"/>
      <c r="F16" s="61" t="s">
        <v>98</v>
      </c>
    </row>
    <row r="17" spans="2:6" s="62" customFormat="1" ht="28" x14ac:dyDescent="0.2">
      <c r="B17" s="61" t="s">
        <v>99</v>
      </c>
      <c r="C17" s="61"/>
      <c r="D17" s="61"/>
      <c r="E17" s="61"/>
      <c r="F17" s="61" t="s">
        <v>100</v>
      </c>
    </row>
    <row r="18" spans="2:6" s="62" customFormat="1" ht="28" x14ac:dyDescent="0.2">
      <c r="B18" s="61" t="s">
        <v>101</v>
      </c>
      <c r="C18" s="61"/>
      <c r="D18" s="61"/>
      <c r="E18" s="61"/>
      <c r="F18" s="61" t="s">
        <v>102</v>
      </c>
    </row>
    <row r="19" spans="2:6" s="62" customFormat="1" ht="14" x14ac:dyDescent="0.2">
      <c r="B19" s="61" t="s">
        <v>105</v>
      </c>
      <c r="C19" s="61"/>
      <c r="D19" s="61"/>
      <c r="E19" s="61"/>
      <c r="F19" s="61"/>
    </row>
    <row r="20" spans="2:6" s="62" customFormat="1" ht="1" customHeight="1" x14ac:dyDescent="0.2">
      <c r="B20" s="61"/>
      <c r="C20" s="61"/>
      <c r="D20" s="61"/>
      <c r="E20" s="61"/>
      <c r="F20" s="61"/>
    </row>
    <row r="21" spans="2:6" s="62" customFormat="1" ht="14" x14ac:dyDescent="0.2">
      <c r="B21" s="61" t="s">
        <v>77</v>
      </c>
      <c r="C21" s="61"/>
      <c r="D21" s="61"/>
      <c r="E21" s="61"/>
      <c r="F21" s="61"/>
    </row>
    <row r="22" spans="2:6" s="62" customFormat="1" ht="14" x14ac:dyDescent="0.2">
      <c r="B22" s="61" t="s">
        <v>106</v>
      </c>
      <c r="C22" s="61"/>
      <c r="D22" s="61"/>
      <c r="E22" s="61"/>
      <c r="F22" s="61"/>
    </row>
    <row r="23" spans="2:6" s="62" customFormat="1" ht="14" x14ac:dyDescent="0.2"/>
  </sheetData>
  <phoneticPr fontId="24" type="noConversion"/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8"/>
  <sheetViews>
    <sheetView workbookViewId="0">
      <selection activeCell="I27" sqref="I27"/>
    </sheetView>
  </sheetViews>
  <sheetFormatPr baseColWidth="10" defaultColWidth="9.1640625" defaultRowHeight="15" x14ac:dyDescent="0.2"/>
  <cols>
    <col min="1" max="1" width="9.1640625" style="35"/>
    <col min="2" max="2" width="50.1640625" style="36" customWidth="1"/>
    <col min="3" max="3" width="12" style="36" customWidth="1"/>
    <col min="4" max="4" width="19.33203125" style="11" customWidth="1"/>
    <col min="5" max="5" width="11.1640625" style="37" customWidth="1"/>
    <col min="6" max="6" width="21" style="11" customWidth="1"/>
    <col min="7" max="7" width="25" style="11" customWidth="1"/>
    <col min="8" max="8" width="9.1640625" style="11"/>
    <col min="9" max="9" width="10.33203125" style="11" bestFit="1" customWidth="1"/>
    <col min="10" max="16384" width="9.1640625" style="11"/>
  </cols>
  <sheetData>
    <row r="2" spans="1:7" x14ac:dyDescent="0.2">
      <c r="A2" s="6" t="s">
        <v>16</v>
      </c>
      <c r="B2" s="7" t="s">
        <v>17</v>
      </c>
      <c r="C2" s="8"/>
      <c r="D2" s="9"/>
      <c r="E2" s="10"/>
      <c r="F2" s="50" t="s">
        <v>72</v>
      </c>
      <c r="G2" s="50" t="s">
        <v>73</v>
      </c>
    </row>
    <row r="3" spans="1:7" s="17" customFormat="1" ht="30" x14ac:dyDescent="0.2">
      <c r="A3" s="12"/>
      <c r="B3" s="13" t="s">
        <v>18</v>
      </c>
      <c r="C3" s="14" t="s">
        <v>19</v>
      </c>
      <c r="D3" s="15" t="s">
        <v>20</v>
      </c>
      <c r="E3" s="16" t="s">
        <v>21</v>
      </c>
      <c r="F3" s="15" t="s">
        <v>22</v>
      </c>
      <c r="G3" s="15" t="s">
        <v>22</v>
      </c>
    </row>
    <row r="4" spans="1:7" x14ac:dyDescent="0.2">
      <c r="A4" s="18" t="s">
        <v>23</v>
      </c>
      <c r="B4" s="19" t="s">
        <v>58</v>
      </c>
      <c r="C4" s="9">
        <f>'work sheet 2'!F16</f>
        <v>17</v>
      </c>
      <c r="D4" s="21">
        <v>500</v>
      </c>
      <c r="E4" s="10">
        <v>12</v>
      </c>
      <c r="F4" s="21">
        <f>C4*D4*E4</f>
        <v>102000</v>
      </c>
      <c r="G4" s="21"/>
    </row>
    <row r="5" spans="1:7" x14ac:dyDescent="0.2">
      <c r="A5" s="22" t="s">
        <v>25</v>
      </c>
      <c r="B5" s="20" t="s">
        <v>24</v>
      </c>
      <c r="C5" s="9">
        <f>'work sheet 2'!E16</f>
        <v>17</v>
      </c>
      <c r="D5" s="21">
        <v>575</v>
      </c>
      <c r="E5" s="10">
        <v>12</v>
      </c>
      <c r="F5" s="21">
        <f>C5*D5*E5</f>
        <v>117300</v>
      </c>
      <c r="G5" s="21">
        <f>F5</f>
        <v>117300</v>
      </c>
    </row>
    <row r="6" spans="1:7" x14ac:dyDescent="0.2">
      <c r="A6" s="23"/>
      <c r="B6" s="7" t="s">
        <v>70</v>
      </c>
      <c r="C6" s="9"/>
      <c r="D6" s="9"/>
      <c r="E6" s="10"/>
      <c r="F6" s="24">
        <f>SUM(F4:F5)</f>
        <v>219300</v>
      </c>
      <c r="G6" s="24">
        <f>SUM(G4:G5)</f>
        <v>117300</v>
      </c>
    </row>
    <row r="7" spans="1:7" x14ac:dyDescent="0.2">
      <c r="A7" s="23"/>
      <c r="B7" s="7"/>
      <c r="C7" s="9"/>
      <c r="D7" s="9"/>
      <c r="E7" s="10"/>
      <c r="F7" s="9"/>
      <c r="G7" s="9"/>
    </row>
    <row r="8" spans="1:7" s="29" customFormat="1" ht="30" x14ac:dyDescent="0.2">
      <c r="A8" s="25" t="s">
        <v>26</v>
      </c>
      <c r="B8" s="26" t="s">
        <v>27</v>
      </c>
      <c r="C8" s="26" t="s">
        <v>19</v>
      </c>
      <c r="D8" s="27" t="s">
        <v>61</v>
      </c>
      <c r="E8" s="28"/>
      <c r="F8" s="27" t="s">
        <v>28</v>
      </c>
      <c r="G8" s="27" t="s">
        <v>28</v>
      </c>
    </row>
    <row r="9" spans="1:7" x14ac:dyDescent="0.2">
      <c r="A9" s="23"/>
      <c r="B9" s="20" t="s">
        <v>59</v>
      </c>
      <c r="C9" s="30">
        <v>300000</v>
      </c>
      <c r="D9" s="31">
        <f>0.7*1.1</f>
        <v>0.77</v>
      </c>
      <c r="E9" s="32"/>
      <c r="F9" s="31">
        <f>'[1]ტესტები და სახარჯი მასალები'!H15</f>
        <v>262487.5</v>
      </c>
      <c r="G9" s="31">
        <f>F9</f>
        <v>262487.5</v>
      </c>
    </row>
    <row r="10" spans="1:7" x14ac:dyDescent="0.2">
      <c r="A10" s="23"/>
      <c r="B10" s="20" t="s">
        <v>60</v>
      </c>
      <c r="C10" s="30">
        <v>300000</v>
      </c>
      <c r="D10" s="31">
        <f>D9</f>
        <v>0.77</v>
      </c>
      <c r="E10" s="10"/>
      <c r="F10" s="31">
        <f>C10*D10</f>
        <v>231000</v>
      </c>
      <c r="G10" s="31">
        <f>F10</f>
        <v>231000</v>
      </c>
    </row>
    <row r="11" spans="1:7" x14ac:dyDescent="0.2">
      <c r="A11" s="23"/>
      <c r="B11" s="7" t="s">
        <v>69</v>
      </c>
      <c r="C11" s="30"/>
      <c r="D11" s="31"/>
      <c r="E11" s="10"/>
      <c r="F11" s="24">
        <f>SUM(F9:F10)</f>
        <v>493487.5</v>
      </c>
      <c r="G11" s="24">
        <f>SUM(G9:G10)</f>
        <v>493487.5</v>
      </c>
    </row>
    <row r="12" spans="1:7" ht="30" x14ac:dyDescent="0.2">
      <c r="A12" s="25" t="s">
        <v>62</v>
      </c>
      <c r="B12" s="26" t="s">
        <v>63</v>
      </c>
      <c r="C12" s="26" t="s">
        <v>19</v>
      </c>
      <c r="D12" s="27" t="s">
        <v>61</v>
      </c>
      <c r="E12" s="28"/>
      <c r="F12" s="27" t="s">
        <v>28</v>
      </c>
      <c r="G12" s="27" t="s">
        <v>28</v>
      </c>
    </row>
    <row r="13" spans="1:7" x14ac:dyDescent="0.2">
      <c r="A13" s="23"/>
      <c r="B13" s="20" t="s">
        <v>64</v>
      </c>
      <c r="C13" s="30">
        <f>'work sheet 2'!G32</f>
        <v>17</v>
      </c>
      <c r="D13" s="31">
        <f>'work sheet 2'!M20</f>
        <v>700</v>
      </c>
      <c r="E13" s="10"/>
      <c r="F13" s="31">
        <f>C13*D13</f>
        <v>11900</v>
      </c>
      <c r="G13" s="31">
        <f>F13</f>
        <v>11900</v>
      </c>
    </row>
    <row r="14" spans="1:7" x14ac:dyDescent="0.2">
      <c r="A14" s="23"/>
      <c r="B14" s="20" t="s">
        <v>65</v>
      </c>
      <c r="C14" s="30">
        <f>'work sheet 2'!H32</f>
        <v>0</v>
      </c>
      <c r="D14" s="31">
        <f>'work sheet 2'!N20</f>
        <v>400</v>
      </c>
      <c r="E14" s="10"/>
      <c r="F14" s="31">
        <f t="shared" ref="F14:F18" si="0">C14*D14</f>
        <v>0</v>
      </c>
      <c r="G14" s="31">
        <f t="shared" ref="G14:G18" si="1">F14</f>
        <v>0</v>
      </c>
    </row>
    <row r="15" spans="1:7" x14ac:dyDescent="0.2">
      <c r="A15" s="23"/>
      <c r="B15" s="20" t="s">
        <v>66</v>
      </c>
      <c r="C15" s="30">
        <f>'work sheet 2'!C32</f>
        <v>13</v>
      </c>
      <c r="D15" s="31">
        <f>'work sheet 2'!I20</f>
        <v>400</v>
      </c>
      <c r="E15" s="10"/>
      <c r="F15" s="31">
        <f t="shared" si="0"/>
        <v>5200</v>
      </c>
      <c r="G15" s="31">
        <f t="shared" si="1"/>
        <v>5200</v>
      </c>
    </row>
    <row r="16" spans="1:7" x14ac:dyDescent="0.2">
      <c r="A16" s="23"/>
      <c r="B16" s="20" t="s">
        <v>67</v>
      </c>
      <c r="C16" s="30">
        <f>'work sheet 2'!D32</f>
        <v>17</v>
      </c>
      <c r="D16" s="31">
        <f>'work sheet 2'!J20</f>
        <v>200</v>
      </c>
      <c r="E16" s="10"/>
      <c r="F16" s="31">
        <f t="shared" si="0"/>
        <v>3400</v>
      </c>
      <c r="G16" s="31">
        <f t="shared" si="1"/>
        <v>3400</v>
      </c>
    </row>
    <row r="17" spans="1:9" x14ac:dyDescent="0.2">
      <c r="A17" s="23"/>
      <c r="B17" s="20" t="s">
        <v>68</v>
      </c>
      <c r="C17" s="30">
        <f>'work sheet 2'!E32</f>
        <v>17</v>
      </c>
      <c r="D17" s="31">
        <f>'work sheet 2'!K20</f>
        <v>200</v>
      </c>
      <c r="E17" s="10"/>
      <c r="F17" s="31">
        <f t="shared" si="0"/>
        <v>3400</v>
      </c>
      <c r="G17" s="31">
        <f t="shared" si="1"/>
        <v>3400</v>
      </c>
    </row>
    <row r="18" spans="1:9" x14ac:dyDescent="0.2">
      <c r="A18" s="23"/>
      <c r="B18" s="20" t="s">
        <v>41</v>
      </c>
      <c r="C18" s="30">
        <f>'work sheet 2'!F32</f>
        <v>34</v>
      </c>
      <c r="D18" s="31">
        <f>'work sheet 2'!L20</f>
        <v>100</v>
      </c>
      <c r="E18" s="10"/>
      <c r="F18" s="31">
        <f t="shared" si="0"/>
        <v>3400</v>
      </c>
      <c r="G18" s="31">
        <f t="shared" si="1"/>
        <v>3400</v>
      </c>
    </row>
    <row r="19" spans="1:9" x14ac:dyDescent="0.2">
      <c r="A19" s="23"/>
      <c r="B19" s="8"/>
      <c r="C19" s="8"/>
      <c r="D19" s="8"/>
      <c r="E19" s="10"/>
      <c r="F19" s="24">
        <f>SUM(F13:F18)</f>
        <v>27300</v>
      </c>
      <c r="G19" s="24">
        <f>SUM(G13:G18)</f>
        <v>27300</v>
      </c>
    </row>
    <row r="20" spans="1:9" x14ac:dyDescent="0.2">
      <c r="A20" s="23"/>
      <c r="B20" s="8"/>
      <c r="C20" s="8"/>
      <c r="D20" s="9"/>
      <c r="E20" s="10"/>
      <c r="F20" s="9"/>
      <c r="G20" s="9"/>
    </row>
    <row r="21" spans="1:9" x14ac:dyDescent="0.2">
      <c r="A21" s="33"/>
      <c r="B21" s="110" t="s">
        <v>71</v>
      </c>
      <c r="C21" s="110"/>
      <c r="D21" s="110"/>
      <c r="E21" s="110"/>
      <c r="F21" s="34">
        <f>F19+F11+F6</f>
        <v>740087.5</v>
      </c>
      <c r="G21" s="34">
        <f>G19+G11+G6</f>
        <v>638087.5</v>
      </c>
    </row>
    <row r="23" spans="1:9" ht="30" x14ac:dyDescent="0.2">
      <c r="I23" s="78" t="s">
        <v>122</v>
      </c>
    </row>
    <row r="24" spans="1:9" x14ac:dyDescent="0.2">
      <c r="B24" s="44" t="s">
        <v>74</v>
      </c>
      <c r="C24" s="45"/>
      <c r="F24" s="77">
        <f>F21/'work sheet 2'!G50</f>
        <v>1.7995436021630875</v>
      </c>
      <c r="G24" s="45">
        <f>G21/C9</f>
        <v>2.1269583333333335</v>
      </c>
      <c r="I24" s="78">
        <f>F21-'work sheet 2'!O32</f>
        <v>712787.5</v>
      </c>
    </row>
    <row r="25" spans="1:9" x14ac:dyDescent="0.2">
      <c r="B25" s="44" t="s">
        <v>53</v>
      </c>
      <c r="C25" s="46"/>
      <c r="F25" s="46">
        <v>17</v>
      </c>
      <c r="G25" s="46">
        <v>17</v>
      </c>
      <c r="I25" s="11">
        <f>გათვლები!I17</f>
        <v>411264</v>
      </c>
    </row>
    <row r="26" spans="1:9" x14ac:dyDescent="0.2">
      <c r="I26" s="78">
        <f>I24/I25</f>
        <v>1.733162883208839</v>
      </c>
    </row>
    <row r="27" spans="1:9" ht="30" x14ac:dyDescent="0.2">
      <c r="B27" s="44" t="s">
        <v>75</v>
      </c>
      <c r="C27" s="45"/>
      <c r="F27" s="45">
        <f>(F21-F19)/C9</f>
        <v>2.3759583333333332</v>
      </c>
      <c r="G27" s="45">
        <f>(G21-G19)/C9</f>
        <v>2.0359583333333333</v>
      </c>
    </row>
    <row r="28" spans="1:9" x14ac:dyDescent="0.2">
      <c r="B28" s="44" t="s">
        <v>53</v>
      </c>
      <c r="C28" s="46"/>
      <c r="F28" s="46">
        <v>17</v>
      </c>
      <c r="G28" s="46">
        <v>17</v>
      </c>
    </row>
  </sheetData>
  <mergeCells count="1">
    <mergeCell ref="B21:E21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50"/>
  <sheetViews>
    <sheetView topLeftCell="A12" workbookViewId="0">
      <selection activeCell="P20" sqref="P20"/>
    </sheetView>
  </sheetViews>
  <sheetFormatPr baseColWidth="10" defaultColWidth="8.83203125" defaultRowHeight="15" x14ac:dyDescent="0.2"/>
  <cols>
    <col min="1" max="1" width="3" bestFit="1" customWidth="1"/>
    <col min="2" max="2" width="10.83203125" bestFit="1" customWidth="1"/>
    <col min="3" max="3" width="13.6640625" bestFit="1" customWidth="1"/>
    <col min="4" max="4" width="15" bestFit="1" customWidth="1"/>
    <col min="5" max="5" width="11" customWidth="1"/>
    <col min="6" max="6" width="18.1640625" customWidth="1"/>
    <col min="7" max="7" width="11.33203125" bestFit="1" customWidth="1"/>
    <col min="8" max="8" width="11.83203125" customWidth="1"/>
    <col min="9" max="9" width="15" customWidth="1"/>
    <col min="10" max="10" width="14.6640625" customWidth="1"/>
    <col min="11" max="11" width="7.1640625" customWidth="1"/>
    <col min="12" max="12" width="6.33203125" customWidth="1"/>
    <col min="13" max="13" width="8.5" customWidth="1"/>
    <col min="14" max="14" width="9.6640625" customWidth="1"/>
    <col min="15" max="15" width="16.83203125" customWidth="1"/>
  </cols>
  <sheetData>
    <row r="3" spans="1:10" ht="70" x14ac:dyDescent="0.2">
      <c r="A3" s="5" t="s">
        <v>13</v>
      </c>
      <c r="B3" s="4" t="s">
        <v>12</v>
      </c>
      <c r="C3" s="41" t="s">
        <v>14</v>
      </c>
      <c r="D3" s="41" t="s">
        <v>15</v>
      </c>
      <c r="E3" s="38" t="s">
        <v>29</v>
      </c>
      <c r="F3" s="39" t="s">
        <v>30</v>
      </c>
      <c r="G3" s="39" t="s">
        <v>33</v>
      </c>
      <c r="H3" s="39" t="s">
        <v>34</v>
      </c>
      <c r="I3" s="39" t="s">
        <v>31</v>
      </c>
      <c r="J3" s="39" t="s">
        <v>32</v>
      </c>
    </row>
    <row r="4" spans="1:10" x14ac:dyDescent="0.2">
      <c r="A4" s="3">
        <v>1</v>
      </c>
      <c r="B4" s="1" t="s">
        <v>11</v>
      </c>
      <c r="C4" s="3">
        <v>237002</v>
      </c>
      <c r="D4" s="3">
        <f>C4*12</f>
        <v>2844024</v>
      </c>
      <c r="E4" s="3">
        <v>3</v>
      </c>
      <c r="F4" s="3">
        <v>3</v>
      </c>
      <c r="G4" s="3">
        <v>575</v>
      </c>
      <c r="H4" s="3">
        <v>500</v>
      </c>
      <c r="I4" s="3">
        <f>E4*G4+F4*H4</f>
        <v>3225</v>
      </c>
      <c r="J4" s="3">
        <f>I4*12</f>
        <v>38700</v>
      </c>
    </row>
    <row r="5" spans="1:10" x14ac:dyDescent="0.2">
      <c r="A5" s="3">
        <v>2</v>
      </c>
      <c r="B5" s="1" t="s">
        <v>0</v>
      </c>
      <c r="C5" s="3">
        <v>42583</v>
      </c>
      <c r="D5" s="3">
        <f t="shared" ref="D5:D15" si="0">C5*12</f>
        <v>510996</v>
      </c>
      <c r="E5" s="3">
        <v>2</v>
      </c>
      <c r="F5" s="3">
        <v>2</v>
      </c>
      <c r="G5" s="3">
        <v>575</v>
      </c>
      <c r="H5" s="3">
        <v>500</v>
      </c>
      <c r="I5" s="3">
        <f t="shared" ref="I5:I15" si="1">E5*G5+F5*H5</f>
        <v>2150</v>
      </c>
      <c r="J5" s="3">
        <f t="shared" ref="J5:J15" si="2">I5*12</f>
        <v>25800</v>
      </c>
    </row>
    <row r="6" spans="1:10" x14ac:dyDescent="0.2">
      <c r="A6" s="3">
        <v>3</v>
      </c>
      <c r="B6" s="1" t="s">
        <v>1</v>
      </c>
      <c r="C6" s="3">
        <v>33532</v>
      </c>
      <c r="D6" s="3">
        <f t="shared" si="0"/>
        <v>402384</v>
      </c>
      <c r="E6" s="3">
        <v>2</v>
      </c>
      <c r="F6" s="3">
        <v>2</v>
      </c>
      <c r="G6" s="3">
        <v>575</v>
      </c>
      <c r="H6" s="3">
        <v>500</v>
      </c>
      <c r="I6" s="3">
        <f t="shared" si="1"/>
        <v>2150</v>
      </c>
      <c r="J6" s="3">
        <f t="shared" si="2"/>
        <v>25800</v>
      </c>
    </row>
    <row r="7" spans="1:10" x14ac:dyDescent="0.2">
      <c r="A7" s="3">
        <v>4</v>
      </c>
      <c r="B7" s="1" t="s">
        <v>2</v>
      </c>
      <c r="C7" s="3">
        <v>28777</v>
      </c>
      <c r="D7" s="3">
        <f t="shared" si="0"/>
        <v>345324</v>
      </c>
      <c r="E7" s="3">
        <v>2</v>
      </c>
      <c r="F7" s="3">
        <v>2</v>
      </c>
      <c r="G7" s="3">
        <v>575</v>
      </c>
      <c r="H7" s="3">
        <v>500</v>
      </c>
      <c r="I7" s="3">
        <f t="shared" si="1"/>
        <v>2150</v>
      </c>
      <c r="J7" s="3">
        <f t="shared" si="2"/>
        <v>25800</v>
      </c>
    </row>
    <row r="8" spans="1:10" x14ac:dyDescent="0.2">
      <c r="A8" s="3">
        <v>5</v>
      </c>
      <c r="B8" s="1" t="s">
        <v>3</v>
      </c>
      <c r="C8" s="3">
        <v>17901</v>
      </c>
      <c r="D8" s="3">
        <f t="shared" si="0"/>
        <v>214812</v>
      </c>
      <c r="E8" s="3">
        <v>1</v>
      </c>
      <c r="F8" s="3">
        <v>1</v>
      </c>
      <c r="G8" s="3">
        <v>575</v>
      </c>
      <c r="H8" s="3">
        <v>500</v>
      </c>
      <c r="I8" s="3">
        <f t="shared" si="1"/>
        <v>1075</v>
      </c>
      <c r="J8" s="3">
        <f t="shared" si="2"/>
        <v>12900</v>
      </c>
    </row>
    <row r="9" spans="1:10" x14ac:dyDescent="0.2">
      <c r="A9" s="3">
        <v>6</v>
      </c>
      <c r="B9" s="1" t="s">
        <v>4</v>
      </c>
      <c r="C9" s="3">
        <v>19549</v>
      </c>
      <c r="D9" s="3">
        <f t="shared" si="0"/>
        <v>234588</v>
      </c>
      <c r="E9" s="3">
        <v>1</v>
      </c>
      <c r="F9" s="3">
        <v>1</v>
      </c>
      <c r="G9" s="3">
        <v>575</v>
      </c>
      <c r="H9" s="3">
        <v>500</v>
      </c>
      <c r="I9" s="3">
        <f t="shared" si="1"/>
        <v>1075</v>
      </c>
      <c r="J9" s="3">
        <f t="shared" si="2"/>
        <v>12900</v>
      </c>
    </row>
    <row r="10" spans="1:10" x14ac:dyDescent="0.2">
      <c r="A10" s="3">
        <v>7</v>
      </c>
      <c r="B10" s="1" t="s">
        <v>5</v>
      </c>
      <c r="C10" s="3">
        <v>20687</v>
      </c>
      <c r="D10" s="3">
        <f t="shared" si="0"/>
        <v>248244</v>
      </c>
      <c r="E10" s="3">
        <v>1</v>
      </c>
      <c r="F10" s="3">
        <v>1</v>
      </c>
      <c r="G10" s="3">
        <v>575</v>
      </c>
      <c r="H10" s="3">
        <v>500</v>
      </c>
      <c r="I10" s="3">
        <f t="shared" si="1"/>
        <v>1075</v>
      </c>
      <c r="J10" s="3">
        <f t="shared" si="2"/>
        <v>12900</v>
      </c>
    </row>
    <row r="11" spans="1:10" x14ac:dyDescent="0.2">
      <c r="A11" s="3">
        <v>8</v>
      </c>
      <c r="B11" s="1" t="s">
        <v>6</v>
      </c>
      <c r="C11" s="3">
        <v>11955</v>
      </c>
      <c r="D11" s="3">
        <f t="shared" si="0"/>
        <v>143460</v>
      </c>
      <c r="E11" s="3">
        <v>1</v>
      </c>
      <c r="F11" s="3">
        <v>1</v>
      </c>
      <c r="G11" s="3">
        <v>575</v>
      </c>
      <c r="H11" s="3">
        <v>500</v>
      </c>
      <c r="I11" s="3">
        <f t="shared" si="1"/>
        <v>1075</v>
      </c>
      <c r="J11" s="3">
        <f t="shared" si="2"/>
        <v>12900</v>
      </c>
    </row>
    <row r="12" spans="1:10" x14ac:dyDescent="0.2">
      <c r="A12" s="3">
        <v>9</v>
      </c>
      <c r="B12" s="1" t="s">
        <v>7</v>
      </c>
      <c r="C12" s="3">
        <v>13290</v>
      </c>
      <c r="D12" s="3">
        <f t="shared" si="0"/>
        <v>159480</v>
      </c>
      <c r="E12" s="3">
        <v>1</v>
      </c>
      <c r="F12" s="3">
        <v>1</v>
      </c>
      <c r="G12" s="3">
        <v>575</v>
      </c>
      <c r="H12" s="3">
        <v>500</v>
      </c>
      <c r="I12" s="3">
        <f t="shared" si="1"/>
        <v>1075</v>
      </c>
      <c r="J12" s="3">
        <f t="shared" si="2"/>
        <v>12900</v>
      </c>
    </row>
    <row r="13" spans="1:10" x14ac:dyDescent="0.2">
      <c r="A13" s="3">
        <v>10</v>
      </c>
      <c r="B13" s="2" t="s">
        <v>8</v>
      </c>
      <c r="C13" s="3">
        <v>8714</v>
      </c>
      <c r="D13" s="3">
        <f t="shared" si="0"/>
        <v>104568</v>
      </c>
      <c r="E13" s="3">
        <v>1</v>
      </c>
      <c r="F13" s="3">
        <v>1</v>
      </c>
      <c r="G13" s="3">
        <v>575</v>
      </c>
      <c r="H13" s="3">
        <v>500</v>
      </c>
      <c r="I13" s="3">
        <f t="shared" si="1"/>
        <v>1075</v>
      </c>
      <c r="J13" s="3">
        <f t="shared" si="2"/>
        <v>12900</v>
      </c>
    </row>
    <row r="14" spans="1:10" x14ac:dyDescent="0.2">
      <c r="A14" s="3">
        <v>11</v>
      </c>
      <c r="B14" s="1" t="s">
        <v>9</v>
      </c>
      <c r="C14" s="3">
        <v>7399</v>
      </c>
      <c r="D14" s="3">
        <f t="shared" si="0"/>
        <v>88788</v>
      </c>
      <c r="E14" s="3">
        <v>1</v>
      </c>
      <c r="F14" s="3">
        <v>1</v>
      </c>
      <c r="G14" s="3">
        <v>575</v>
      </c>
      <c r="H14" s="3">
        <v>500</v>
      </c>
      <c r="I14" s="3">
        <f t="shared" si="1"/>
        <v>1075</v>
      </c>
      <c r="J14" s="3">
        <f t="shared" si="2"/>
        <v>12900</v>
      </c>
    </row>
    <row r="15" spans="1:10" x14ac:dyDescent="0.2">
      <c r="A15" s="3">
        <v>12</v>
      </c>
      <c r="B15" s="1" t="s">
        <v>10</v>
      </c>
      <c r="C15" s="3">
        <v>6741</v>
      </c>
      <c r="D15" s="3">
        <f t="shared" si="0"/>
        <v>80892</v>
      </c>
      <c r="E15" s="3">
        <v>1</v>
      </c>
      <c r="F15" s="3">
        <v>1</v>
      </c>
      <c r="G15" s="3">
        <v>575</v>
      </c>
      <c r="H15" s="3">
        <v>500</v>
      </c>
      <c r="I15" s="3">
        <f t="shared" si="1"/>
        <v>1075</v>
      </c>
      <c r="J15" s="3">
        <f t="shared" si="2"/>
        <v>12900</v>
      </c>
    </row>
    <row r="16" spans="1:10" x14ac:dyDescent="0.2">
      <c r="B16" s="47" t="s">
        <v>69</v>
      </c>
      <c r="C16" s="49">
        <f>SUM(C4:C15)</f>
        <v>448130</v>
      </c>
      <c r="D16" s="48">
        <f>SUM(D4:D15)</f>
        <v>5377560</v>
      </c>
      <c r="E16">
        <f>SUM(E4:E15)</f>
        <v>17</v>
      </c>
      <c r="F16">
        <f>SUM(F4:F15)</f>
        <v>17</v>
      </c>
      <c r="I16" s="40">
        <f>SUM(I4:I15)</f>
        <v>18275</v>
      </c>
      <c r="J16" s="40">
        <f>SUM(J4:J15)</f>
        <v>219300</v>
      </c>
    </row>
    <row r="19" spans="1:16" ht="84" x14ac:dyDescent="0.2">
      <c r="A19" s="5" t="s">
        <v>13</v>
      </c>
      <c r="B19" s="4" t="s">
        <v>12</v>
      </c>
      <c r="C19" s="41" t="s">
        <v>35</v>
      </c>
      <c r="D19" s="41" t="s">
        <v>36</v>
      </c>
      <c r="E19" s="41" t="s">
        <v>37</v>
      </c>
      <c r="F19" s="41" t="s">
        <v>41</v>
      </c>
      <c r="G19" s="41" t="s">
        <v>44</v>
      </c>
      <c r="H19" s="41" t="s">
        <v>46</v>
      </c>
      <c r="I19" s="41" t="s">
        <v>38</v>
      </c>
      <c r="J19" s="41" t="s">
        <v>39</v>
      </c>
      <c r="K19" s="41" t="s">
        <v>40</v>
      </c>
      <c r="L19" s="41" t="s">
        <v>42</v>
      </c>
      <c r="M19" s="41" t="s">
        <v>45</v>
      </c>
      <c r="N19" s="41" t="s">
        <v>47</v>
      </c>
      <c r="O19" s="41" t="s">
        <v>43</v>
      </c>
      <c r="P19" s="70" t="s">
        <v>114</v>
      </c>
    </row>
    <row r="20" spans="1:16" x14ac:dyDescent="0.2">
      <c r="A20" s="3">
        <v>1</v>
      </c>
      <c r="B20" s="1" t="s">
        <v>11</v>
      </c>
      <c r="C20" s="3">
        <v>2</v>
      </c>
      <c r="D20" s="3">
        <v>3</v>
      </c>
      <c r="E20" s="3">
        <v>3</v>
      </c>
      <c r="F20" s="42">
        <v>6</v>
      </c>
      <c r="G20" s="42">
        <v>3</v>
      </c>
      <c r="H20" s="42"/>
      <c r="I20" s="42">
        <v>400</v>
      </c>
      <c r="J20" s="42">
        <v>200</v>
      </c>
      <c r="K20" s="42">
        <v>200</v>
      </c>
      <c r="L20" s="42">
        <v>100</v>
      </c>
      <c r="M20" s="42">
        <v>700</v>
      </c>
      <c r="N20" s="42">
        <v>400</v>
      </c>
      <c r="O20" s="3">
        <f>C20*I20+D20*J20+E20*K20+F20*L20+G20*M20+H20*N20</f>
        <v>4700</v>
      </c>
      <c r="P20" s="71">
        <f>I20+J20+K20+L20+M20+N20</f>
        <v>2000</v>
      </c>
    </row>
    <row r="21" spans="1:16" x14ac:dyDescent="0.2">
      <c r="A21" s="3">
        <v>2</v>
      </c>
      <c r="B21" s="1" t="s">
        <v>0</v>
      </c>
      <c r="C21" s="3">
        <v>1</v>
      </c>
      <c r="D21" s="3">
        <v>2</v>
      </c>
      <c r="E21" s="3">
        <v>2</v>
      </c>
      <c r="F21" s="42">
        <v>4</v>
      </c>
      <c r="G21" s="42">
        <v>2</v>
      </c>
      <c r="H21" s="42"/>
      <c r="I21" s="42">
        <v>400</v>
      </c>
      <c r="J21" s="42">
        <v>200</v>
      </c>
      <c r="K21" s="42">
        <v>200</v>
      </c>
      <c r="L21" s="42">
        <v>100</v>
      </c>
      <c r="M21" s="42">
        <v>700</v>
      </c>
      <c r="N21" s="42">
        <v>400</v>
      </c>
      <c r="O21" s="3">
        <f t="shared" ref="O21:O31" si="3">C21*I21+D21*J21+E21*K21+F21*L21+G21*M21+H21*N21</f>
        <v>3000</v>
      </c>
      <c r="P21" s="71"/>
    </row>
    <row r="22" spans="1:16" x14ac:dyDescent="0.2">
      <c r="A22" s="3">
        <v>3</v>
      </c>
      <c r="B22" s="1" t="s">
        <v>1</v>
      </c>
      <c r="C22" s="3">
        <v>1</v>
      </c>
      <c r="D22" s="3">
        <v>2</v>
      </c>
      <c r="E22" s="3">
        <v>2</v>
      </c>
      <c r="F22" s="42">
        <v>4</v>
      </c>
      <c r="G22" s="42">
        <v>2</v>
      </c>
      <c r="H22" s="42"/>
      <c r="I22" s="42">
        <v>400</v>
      </c>
      <c r="J22" s="42">
        <v>200</v>
      </c>
      <c r="K22" s="42">
        <v>200</v>
      </c>
      <c r="L22" s="42">
        <v>100</v>
      </c>
      <c r="M22" s="42">
        <v>700</v>
      </c>
      <c r="N22" s="42">
        <v>400</v>
      </c>
      <c r="O22" s="3">
        <f t="shared" si="3"/>
        <v>3000</v>
      </c>
      <c r="P22" s="71"/>
    </row>
    <row r="23" spans="1:16" x14ac:dyDescent="0.2">
      <c r="A23" s="3">
        <v>4</v>
      </c>
      <c r="B23" s="1" t="s">
        <v>2</v>
      </c>
      <c r="C23" s="3">
        <v>1</v>
      </c>
      <c r="D23" s="3">
        <v>2</v>
      </c>
      <c r="E23" s="3">
        <v>2</v>
      </c>
      <c r="F23" s="42">
        <v>4</v>
      </c>
      <c r="G23" s="42">
        <v>2</v>
      </c>
      <c r="H23" s="42"/>
      <c r="I23" s="42">
        <v>400</v>
      </c>
      <c r="J23" s="42">
        <v>200</v>
      </c>
      <c r="K23" s="42">
        <v>200</v>
      </c>
      <c r="L23" s="42">
        <v>100</v>
      </c>
      <c r="M23" s="42">
        <v>700</v>
      </c>
      <c r="N23" s="42">
        <v>400</v>
      </c>
      <c r="O23" s="3">
        <f t="shared" si="3"/>
        <v>3000</v>
      </c>
      <c r="P23" s="71"/>
    </row>
    <row r="24" spans="1:16" x14ac:dyDescent="0.2">
      <c r="A24" s="3">
        <v>5</v>
      </c>
      <c r="B24" s="1" t="s">
        <v>3</v>
      </c>
      <c r="C24" s="3">
        <v>1</v>
      </c>
      <c r="D24" s="3">
        <v>1</v>
      </c>
      <c r="E24" s="3">
        <v>1</v>
      </c>
      <c r="F24" s="42">
        <v>2</v>
      </c>
      <c r="G24" s="42">
        <v>1</v>
      </c>
      <c r="H24" s="42"/>
      <c r="I24" s="42">
        <v>400</v>
      </c>
      <c r="J24" s="42">
        <v>200</v>
      </c>
      <c r="K24" s="42">
        <v>200</v>
      </c>
      <c r="L24" s="42">
        <v>100</v>
      </c>
      <c r="M24" s="42">
        <v>700</v>
      </c>
      <c r="N24" s="42">
        <v>400</v>
      </c>
      <c r="O24" s="3">
        <f t="shared" si="3"/>
        <v>1700</v>
      </c>
      <c r="P24" s="71"/>
    </row>
    <row r="25" spans="1:16" x14ac:dyDescent="0.2">
      <c r="A25" s="3">
        <v>6</v>
      </c>
      <c r="B25" s="1" t="s">
        <v>4</v>
      </c>
      <c r="C25" s="3">
        <v>1</v>
      </c>
      <c r="D25" s="3">
        <v>1</v>
      </c>
      <c r="E25" s="3">
        <v>1</v>
      </c>
      <c r="F25" s="42">
        <v>2</v>
      </c>
      <c r="G25" s="42">
        <v>1</v>
      </c>
      <c r="H25" s="42"/>
      <c r="I25" s="42">
        <v>400</v>
      </c>
      <c r="J25" s="42">
        <v>200</v>
      </c>
      <c r="K25" s="42">
        <v>200</v>
      </c>
      <c r="L25" s="42">
        <v>100</v>
      </c>
      <c r="M25" s="42">
        <v>700</v>
      </c>
      <c r="N25" s="42">
        <v>400</v>
      </c>
      <c r="O25" s="3">
        <f t="shared" si="3"/>
        <v>1700</v>
      </c>
      <c r="P25" s="71"/>
    </row>
    <row r="26" spans="1:16" x14ac:dyDescent="0.2">
      <c r="A26" s="3">
        <v>7</v>
      </c>
      <c r="B26" s="1" t="s">
        <v>5</v>
      </c>
      <c r="C26" s="3">
        <v>1</v>
      </c>
      <c r="D26" s="3">
        <v>1</v>
      </c>
      <c r="E26" s="3">
        <v>1</v>
      </c>
      <c r="F26" s="42">
        <v>2</v>
      </c>
      <c r="G26" s="42">
        <v>1</v>
      </c>
      <c r="H26" s="42"/>
      <c r="I26" s="42">
        <v>400</v>
      </c>
      <c r="J26" s="42">
        <v>200</v>
      </c>
      <c r="K26" s="42">
        <v>200</v>
      </c>
      <c r="L26" s="42">
        <v>100</v>
      </c>
      <c r="M26" s="42">
        <v>700</v>
      </c>
      <c r="N26" s="42">
        <v>400</v>
      </c>
      <c r="O26" s="3">
        <f t="shared" si="3"/>
        <v>1700</v>
      </c>
      <c r="P26" s="71"/>
    </row>
    <row r="27" spans="1:16" x14ac:dyDescent="0.2">
      <c r="A27" s="3">
        <v>8</v>
      </c>
      <c r="B27" s="1" t="s">
        <v>6</v>
      </c>
      <c r="C27" s="3">
        <v>1</v>
      </c>
      <c r="D27" s="3">
        <v>1</v>
      </c>
      <c r="E27" s="3">
        <v>1</v>
      </c>
      <c r="F27" s="42">
        <v>2</v>
      </c>
      <c r="G27" s="42">
        <v>1</v>
      </c>
      <c r="H27" s="42"/>
      <c r="I27" s="42">
        <v>400</v>
      </c>
      <c r="J27" s="42">
        <v>200</v>
      </c>
      <c r="K27" s="42">
        <v>200</v>
      </c>
      <c r="L27" s="42">
        <v>100</v>
      </c>
      <c r="M27" s="42">
        <v>700</v>
      </c>
      <c r="N27" s="42">
        <v>400</v>
      </c>
      <c r="O27" s="3">
        <f t="shared" si="3"/>
        <v>1700</v>
      </c>
      <c r="P27" s="71"/>
    </row>
    <row r="28" spans="1:16" x14ac:dyDescent="0.2">
      <c r="A28" s="3">
        <v>9</v>
      </c>
      <c r="B28" s="1" t="s">
        <v>7</v>
      </c>
      <c r="C28" s="3">
        <v>1</v>
      </c>
      <c r="D28" s="3">
        <v>1</v>
      </c>
      <c r="E28" s="3">
        <v>1</v>
      </c>
      <c r="F28" s="42">
        <v>2</v>
      </c>
      <c r="G28" s="42">
        <v>1</v>
      </c>
      <c r="H28" s="42"/>
      <c r="I28" s="42">
        <v>400</v>
      </c>
      <c r="J28" s="42">
        <v>200</v>
      </c>
      <c r="K28" s="42">
        <v>200</v>
      </c>
      <c r="L28" s="42">
        <v>100</v>
      </c>
      <c r="M28" s="42">
        <v>700</v>
      </c>
      <c r="N28" s="42">
        <v>400</v>
      </c>
      <c r="O28" s="3">
        <f t="shared" si="3"/>
        <v>1700</v>
      </c>
      <c r="P28" s="71"/>
    </row>
    <row r="29" spans="1:16" x14ac:dyDescent="0.2">
      <c r="A29" s="3">
        <v>10</v>
      </c>
      <c r="B29" s="2" t="s">
        <v>8</v>
      </c>
      <c r="C29" s="3">
        <v>1</v>
      </c>
      <c r="D29" s="3">
        <v>1</v>
      </c>
      <c r="E29" s="3">
        <v>1</v>
      </c>
      <c r="F29" s="42">
        <v>2</v>
      </c>
      <c r="G29" s="42">
        <v>1</v>
      </c>
      <c r="H29" s="42"/>
      <c r="I29" s="42">
        <v>400</v>
      </c>
      <c r="J29" s="42">
        <v>200</v>
      </c>
      <c r="K29" s="42">
        <v>200</v>
      </c>
      <c r="L29" s="42">
        <v>100</v>
      </c>
      <c r="M29" s="42">
        <v>700</v>
      </c>
      <c r="N29" s="42">
        <v>400</v>
      </c>
      <c r="O29" s="3">
        <f t="shared" si="3"/>
        <v>1700</v>
      </c>
      <c r="P29" s="71"/>
    </row>
    <row r="30" spans="1:16" x14ac:dyDescent="0.2">
      <c r="A30" s="3">
        <v>11</v>
      </c>
      <c r="B30" s="1" t="s">
        <v>9</v>
      </c>
      <c r="C30" s="3">
        <v>1</v>
      </c>
      <c r="D30" s="3">
        <v>1</v>
      </c>
      <c r="E30" s="3">
        <v>1</v>
      </c>
      <c r="F30" s="42">
        <v>2</v>
      </c>
      <c r="G30" s="42">
        <v>1</v>
      </c>
      <c r="H30" s="42"/>
      <c r="I30" s="42">
        <v>400</v>
      </c>
      <c r="J30" s="42">
        <v>200</v>
      </c>
      <c r="K30" s="42">
        <v>200</v>
      </c>
      <c r="L30" s="42">
        <v>100</v>
      </c>
      <c r="M30" s="42">
        <v>700</v>
      </c>
      <c r="N30" s="42">
        <v>400</v>
      </c>
      <c r="O30" s="3">
        <f t="shared" si="3"/>
        <v>1700</v>
      </c>
      <c r="P30" s="71"/>
    </row>
    <row r="31" spans="1:16" x14ac:dyDescent="0.2">
      <c r="A31" s="3">
        <v>12</v>
      </c>
      <c r="B31" s="1" t="s">
        <v>10</v>
      </c>
      <c r="C31" s="3">
        <v>1</v>
      </c>
      <c r="D31" s="3">
        <v>1</v>
      </c>
      <c r="E31" s="3">
        <v>1</v>
      </c>
      <c r="F31" s="42">
        <v>2</v>
      </c>
      <c r="G31" s="42">
        <v>1</v>
      </c>
      <c r="H31" s="42"/>
      <c r="I31" s="42">
        <v>400</v>
      </c>
      <c r="J31" s="42">
        <v>200</v>
      </c>
      <c r="K31" s="42">
        <v>200</v>
      </c>
      <c r="L31" s="42">
        <v>100</v>
      </c>
      <c r="M31" s="42">
        <v>700</v>
      </c>
      <c r="N31" s="42">
        <v>400</v>
      </c>
      <c r="O31" s="3">
        <f t="shared" si="3"/>
        <v>1700</v>
      </c>
      <c r="P31" s="71"/>
    </row>
    <row r="32" spans="1:16" x14ac:dyDescent="0.2">
      <c r="C32">
        <f>SUM(C20:C31)</f>
        <v>13</v>
      </c>
      <c r="D32">
        <f t="shared" ref="D32:H32" si="4">SUM(D20:D31)</f>
        <v>17</v>
      </c>
      <c r="E32">
        <f t="shared" si="4"/>
        <v>17</v>
      </c>
      <c r="F32">
        <f t="shared" si="4"/>
        <v>34</v>
      </c>
      <c r="G32">
        <f t="shared" si="4"/>
        <v>17</v>
      </c>
      <c r="H32">
        <f t="shared" si="4"/>
        <v>0</v>
      </c>
      <c r="O32" s="40">
        <f>SUM(O20:O31)</f>
        <v>27300</v>
      </c>
    </row>
    <row r="33" spans="1:10" ht="57" customHeight="1" x14ac:dyDescent="0.2">
      <c r="B33" s="111" t="s">
        <v>48</v>
      </c>
      <c r="C33" s="112"/>
      <c r="D33" s="9" t="s">
        <v>49</v>
      </c>
      <c r="E33" s="9" t="s">
        <v>52</v>
      </c>
      <c r="F33" s="9" t="s">
        <v>50</v>
      </c>
      <c r="G33" s="9" t="s">
        <v>51</v>
      </c>
    </row>
    <row r="34" spans="1:10" ht="74.25" customHeight="1" x14ac:dyDescent="0.2">
      <c r="B34" s="113"/>
      <c r="C34" s="114"/>
      <c r="D34" s="3">
        <v>2</v>
      </c>
      <c r="E34" s="3">
        <v>3</v>
      </c>
      <c r="F34" s="3">
        <f>D34+E34</f>
        <v>5</v>
      </c>
      <c r="G34" s="3">
        <f>8*60/F34</f>
        <v>96</v>
      </c>
    </row>
    <row r="37" spans="1:10" ht="70" x14ac:dyDescent="0.2">
      <c r="A37" s="5" t="s">
        <v>13</v>
      </c>
      <c r="B37" s="41" t="s">
        <v>12</v>
      </c>
      <c r="C37" s="41" t="s">
        <v>15</v>
      </c>
      <c r="D37" s="41" t="s">
        <v>53</v>
      </c>
      <c r="E37" s="41" t="s">
        <v>54</v>
      </c>
      <c r="F37" s="41" t="s">
        <v>55</v>
      </c>
      <c r="G37" s="41" t="s">
        <v>56</v>
      </c>
      <c r="H37" s="41" t="s">
        <v>57</v>
      </c>
      <c r="J37" s="52" t="s">
        <v>76</v>
      </c>
    </row>
    <row r="38" spans="1:10" x14ac:dyDescent="0.2">
      <c r="A38" s="3">
        <v>1</v>
      </c>
      <c r="B38" s="1" t="s">
        <v>11</v>
      </c>
      <c r="C38" s="3">
        <v>2844024</v>
      </c>
      <c r="D38" s="3">
        <v>3</v>
      </c>
      <c r="E38" s="53">
        <f>D38*$G$34</f>
        <v>288</v>
      </c>
      <c r="F38" s="3">
        <f>E38*21</f>
        <v>6048</v>
      </c>
      <c r="G38" s="3">
        <f>F38*12</f>
        <v>72576</v>
      </c>
      <c r="H38" s="43">
        <f>G38/C38</f>
        <v>2.5518771993485286E-2</v>
      </c>
    </row>
    <row r="39" spans="1:10" x14ac:dyDescent="0.2">
      <c r="A39" s="3">
        <v>2</v>
      </c>
      <c r="B39" s="1" t="s">
        <v>0</v>
      </c>
      <c r="C39" s="3">
        <v>510996</v>
      </c>
      <c r="D39" s="3">
        <v>2</v>
      </c>
      <c r="E39" s="53">
        <f t="shared" ref="E39:E49" si="5">D39*$G$34</f>
        <v>192</v>
      </c>
      <c r="F39" s="3">
        <f t="shared" ref="F39:F49" si="6">E39*21</f>
        <v>4032</v>
      </c>
      <c r="G39" s="3">
        <f t="shared" ref="G39:G49" si="7">F39*12</f>
        <v>48384</v>
      </c>
      <c r="H39" s="43">
        <f t="shared" ref="H39:H50" si="8">G39/C39</f>
        <v>9.4685672686283265E-2</v>
      </c>
    </row>
    <row r="40" spans="1:10" x14ac:dyDescent="0.2">
      <c r="A40" s="3">
        <v>3</v>
      </c>
      <c r="B40" s="1" t="s">
        <v>1</v>
      </c>
      <c r="C40" s="3">
        <v>402384</v>
      </c>
      <c r="D40" s="3">
        <v>2</v>
      </c>
      <c r="E40" s="53">
        <f t="shared" si="5"/>
        <v>192</v>
      </c>
      <c r="F40" s="3">
        <f t="shared" si="6"/>
        <v>4032</v>
      </c>
      <c r="G40" s="3">
        <f t="shared" si="7"/>
        <v>48384</v>
      </c>
      <c r="H40" s="43">
        <f t="shared" si="8"/>
        <v>0.12024334963616844</v>
      </c>
    </row>
    <row r="41" spans="1:10" x14ac:dyDescent="0.2">
      <c r="A41" s="3">
        <v>4</v>
      </c>
      <c r="B41" s="1" t="s">
        <v>2</v>
      </c>
      <c r="C41" s="3">
        <v>345324</v>
      </c>
      <c r="D41" s="3">
        <v>2</v>
      </c>
      <c r="E41" s="53">
        <f t="shared" si="5"/>
        <v>192</v>
      </c>
      <c r="F41" s="3">
        <f t="shared" si="6"/>
        <v>4032</v>
      </c>
      <c r="G41" s="3">
        <f t="shared" si="7"/>
        <v>48384</v>
      </c>
      <c r="H41" s="43">
        <f t="shared" si="8"/>
        <v>0.14011189491607881</v>
      </c>
    </row>
    <row r="42" spans="1:10" x14ac:dyDescent="0.2">
      <c r="A42" s="3">
        <v>5</v>
      </c>
      <c r="B42" s="1" t="s">
        <v>3</v>
      </c>
      <c r="C42" s="3">
        <v>214812</v>
      </c>
      <c r="D42" s="3">
        <v>1</v>
      </c>
      <c r="E42" s="53">
        <f t="shared" si="5"/>
        <v>96</v>
      </c>
      <c r="F42" s="3">
        <f t="shared" si="6"/>
        <v>2016</v>
      </c>
      <c r="G42" s="3">
        <f t="shared" si="7"/>
        <v>24192</v>
      </c>
      <c r="H42" s="43">
        <f t="shared" si="8"/>
        <v>0.1126194067370538</v>
      </c>
    </row>
    <row r="43" spans="1:10" x14ac:dyDescent="0.2">
      <c r="A43" s="3">
        <v>6</v>
      </c>
      <c r="B43" s="1" t="s">
        <v>4</v>
      </c>
      <c r="C43" s="3">
        <v>234588</v>
      </c>
      <c r="D43" s="3">
        <v>1</v>
      </c>
      <c r="E43" s="53">
        <f t="shared" si="5"/>
        <v>96</v>
      </c>
      <c r="F43" s="3">
        <f t="shared" si="6"/>
        <v>2016</v>
      </c>
      <c r="G43" s="3">
        <f t="shared" si="7"/>
        <v>24192</v>
      </c>
      <c r="H43" s="43">
        <f t="shared" si="8"/>
        <v>0.10312547956417208</v>
      </c>
    </row>
    <row r="44" spans="1:10" x14ac:dyDescent="0.2">
      <c r="A44" s="3">
        <v>7</v>
      </c>
      <c r="B44" s="1" t="s">
        <v>5</v>
      </c>
      <c r="C44" s="3">
        <v>248244</v>
      </c>
      <c r="D44" s="3">
        <v>1</v>
      </c>
      <c r="E44" s="53">
        <f t="shared" si="5"/>
        <v>96</v>
      </c>
      <c r="F44" s="3">
        <f t="shared" si="6"/>
        <v>2016</v>
      </c>
      <c r="G44" s="3">
        <f t="shared" si="7"/>
        <v>24192</v>
      </c>
      <c r="H44" s="43">
        <f t="shared" si="8"/>
        <v>9.7452506404988634E-2</v>
      </c>
    </row>
    <row r="45" spans="1:10" x14ac:dyDescent="0.2">
      <c r="A45" s="3">
        <v>8</v>
      </c>
      <c r="B45" s="1" t="s">
        <v>6</v>
      </c>
      <c r="C45" s="3">
        <v>143460</v>
      </c>
      <c r="D45" s="3">
        <v>1</v>
      </c>
      <c r="E45" s="53">
        <f t="shared" si="5"/>
        <v>96</v>
      </c>
      <c r="F45" s="3">
        <f t="shared" si="6"/>
        <v>2016</v>
      </c>
      <c r="G45" s="3">
        <f t="shared" si="7"/>
        <v>24192</v>
      </c>
      <c r="H45" s="43">
        <f t="shared" si="8"/>
        <v>0.16863237139272272</v>
      </c>
    </row>
    <row r="46" spans="1:10" x14ac:dyDescent="0.2">
      <c r="A46" s="3">
        <v>9</v>
      </c>
      <c r="B46" s="1" t="s">
        <v>7</v>
      </c>
      <c r="C46" s="3">
        <v>159480</v>
      </c>
      <c r="D46" s="3">
        <v>1</v>
      </c>
      <c r="E46" s="53">
        <f t="shared" si="5"/>
        <v>96</v>
      </c>
      <c r="F46" s="3">
        <f t="shared" si="6"/>
        <v>2016</v>
      </c>
      <c r="G46" s="3">
        <f t="shared" si="7"/>
        <v>24192</v>
      </c>
      <c r="H46" s="43">
        <f t="shared" si="8"/>
        <v>0.15169300225733634</v>
      </c>
    </row>
    <row r="47" spans="1:10" x14ac:dyDescent="0.2">
      <c r="A47" s="3">
        <v>10</v>
      </c>
      <c r="B47" s="2" t="s">
        <v>8</v>
      </c>
      <c r="C47" s="3">
        <v>104568</v>
      </c>
      <c r="D47" s="3">
        <v>1</v>
      </c>
      <c r="E47" s="53">
        <f t="shared" si="5"/>
        <v>96</v>
      </c>
      <c r="F47" s="3">
        <f t="shared" si="6"/>
        <v>2016</v>
      </c>
      <c r="G47" s="3">
        <f t="shared" si="7"/>
        <v>24192</v>
      </c>
      <c r="H47" s="43">
        <f t="shared" si="8"/>
        <v>0.23135184760156072</v>
      </c>
    </row>
    <row r="48" spans="1:10" x14ac:dyDescent="0.2">
      <c r="A48" s="3">
        <v>11</v>
      </c>
      <c r="B48" s="1" t="s">
        <v>9</v>
      </c>
      <c r="C48" s="3">
        <v>88788</v>
      </c>
      <c r="D48" s="3">
        <v>1</v>
      </c>
      <c r="E48" s="53">
        <f t="shared" si="5"/>
        <v>96</v>
      </c>
      <c r="F48" s="3">
        <f t="shared" si="6"/>
        <v>2016</v>
      </c>
      <c r="G48" s="3">
        <f t="shared" si="7"/>
        <v>24192</v>
      </c>
      <c r="H48" s="43">
        <f t="shared" si="8"/>
        <v>0.27246925260170296</v>
      </c>
    </row>
    <row r="49" spans="1:8" x14ac:dyDescent="0.2">
      <c r="A49" s="3">
        <v>12</v>
      </c>
      <c r="B49" s="1" t="s">
        <v>10</v>
      </c>
      <c r="C49" s="3">
        <v>80892</v>
      </c>
      <c r="D49" s="3">
        <v>1</v>
      </c>
      <c r="E49" s="53">
        <f t="shared" si="5"/>
        <v>96</v>
      </c>
      <c r="F49" s="3">
        <f t="shared" si="6"/>
        <v>2016</v>
      </c>
      <c r="G49" s="3">
        <f t="shared" si="7"/>
        <v>24192</v>
      </c>
      <c r="H49" s="43">
        <f t="shared" si="8"/>
        <v>0.29906542056074764</v>
      </c>
    </row>
    <row r="50" spans="1:8" x14ac:dyDescent="0.2">
      <c r="C50">
        <f>SUM(C38:C49)</f>
        <v>5377560</v>
      </c>
      <c r="G50" s="51">
        <f>SUM(G38:G49)</f>
        <v>411264</v>
      </c>
      <c r="H50" s="43">
        <f t="shared" si="8"/>
        <v>7.6477807778992699E-2</v>
      </c>
    </row>
  </sheetData>
  <mergeCells count="1">
    <mergeCell ref="B33:C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workbookViewId="0">
      <selection activeCell="D1" sqref="D1"/>
    </sheetView>
  </sheetViews>
  <sheetFormatPr baseColWidth="10" defaultColWidth="9.1640625" defaultRowHeight="15" x14ac:dyDescent="0.2"/>
  <cols>
    <col min="1" max="1" width="9.1640625" style="35"/>
    <col min="2" max="2" width="50.1640625" style="36" customWidth="1"/>
    <col min="3" max="3" width="12" style="36" customWidth="1"/>
    <col min="4" max="4" width="19.33203125" style="11" customWidth="1"/>
    <col min="5" max="5" width="11.1640625" style="37" customWidth="1"/>
    <col min="6" max="6" width="21" style="11" customWidth="1"/>
    <col min="7" max="7" width="25" style="11" customWidth="1"/>
    <col min="8" max="16384" width="9.1640625" style="11"/>
  </cols>
  <sheetData>
    <row r="2" spans="1:7" x14ac:dyDescent="0.2">
      <c r="A2" s="6" t="s">
        <v>16</v>
      </c>
      <c r="B2" s="7" t="s">
        <v>17</v>
      </c>
      <c r="C2" s="8"/>
      <c r="D2" s="9"/>
      <c r="E2" s="10"/>
      <c r="F2" s="50" t="s">
        <v>72</v>
      </c>
      <c r="G2" s="50" t="s">
        <v>73</v>
      </c>
    </row>
    <row r="3" spans="1:7" s="17" customFormat="1" ht="30" x14ac:dyDescent="0.2">
      <c r="A3" s="12"/>
      <c r="B3" s="13" t="s">
        <v>18</v>
      </c>
      <c r="C3" s="14" t="s">
        <v>19</v>
      </c>
      <c r="D3" s="15" t="s">
        <v>20</v>
      </c>
      <c r="E3" s="16" t="s">
        <v>21</v>
      </c>
      <c r="F3" s="15" t="s">
        <v>22</v>
      </c>
      <c r="G3" s="15" t="s">
        <v>22</v>
      </c>
    </row>
    <row r="4" spans="1:7" x14ac:dyDescent="0.2">
      <c r="A4" s="18" t="s">
        <v>23</v>
      </c>
      <c r="B4" s="19" t="s">
        <v>58</v>
      </c>
      <c r="C4" s="9">
        <f>'work sheet 2'!F16</f>
        <v>17</v>
      </c>
      <c r="D4" s="21">
        <v>500</v>
      </c>
      <c r="E4" s="10">
        <v>12</v>
      </c>
      <c r="F4" s="21">
        <f>C4*D4*E4</f>
        <v>102000</v>
      </c>
      <c r="G4" s="21"/>
    </row>
    <row r="5" spans="1:7" x14ac:dyDescent="0.2">
      <c r="A5" s="22" t="s">
        <v>25</v>
      </c>
      <c r="B5" s="20" t="s">
        <v>24</v>
      </c>
      <c r="C5" s="9">
        <f>'work sheet 2'!E16</f>
        <v>17</v>
      </c>
      <c r="D5" s="21">
        <v>575</v>
      </c>
      <c r="E5" s="10">
        <v>12</v>
      </c>
      <c r="F5" s="21">
        <f>C5*D5*E5</f>
        <v>117300</v>
      </c>
      <c r="G5" s="21">
        <f>F5</f>
        <v>117300</v>
      </c>
    </row>
    <row r="6" spans="1:7" x14ac:dyDescent="0.2">
      <c r="A6" s="23"/>
      <c r="B6" s="7" t="s">
        <v>70</v>
      </c>
      <c r="C6" s="9"/>
      <c r="D6" s="9"/>
      <c r="E6" s="10"/>
      <c r="F6" s="24">
        <f>SUM(F4:F5)</f>
        <v>219300</v>
      </c>
      <c r="G6" s="24">
        <f>SUM(G4:G5)</f>
        <v>117300</v>
      </c>
    </row>
    <row r="7" spans="1:7" x14ac:dyDescent="0.2">
      <c r="A7" s="23"/>
      <c r="B7" s="7"/>
      <c r="C7" s="9"/>
      <c r="D7" s="9"/>
      <c r="E7" s="10"/>
      <c r="F7" s="9"/>
      <c r="G7" s="9"/>
    </row>
    <row r="8" spans="1:7" s="29" customFormat="1" ht="30" x14ac:dyDescent="0.2">
      <c r="A8" s="25" t="s">
        <v>26</v>
      </c>
      <c r="B8" s="26" t="s">
        <v>27</v>
      </c>
      <c r="C8" s="26" t="s">
        <v>19</v>
      </c>
      <c r="D8" s="27" t="s">
        <v>61</v>
      </c>
      <c r="E8" s="28"/>
      <c r="F8" s="27" t="s">
        <v>28</v>
      </c>
      <c r="G8" s="27" t="s">
        <v>28</v>
      </c>
    </row>
    <row r="9" spans="1:7" x14ac:dyDescent="0.2">
      <c r="A9" s="23"/>
      <c r="B9" s="20" t="s">
        <v>59</v>
      </c>
      <c r="C9" s="30">
        <v>300000</v>
      </c>
      <c r="D9" s="31">
        <f>0.7*1.1</f>
        <v>0.77</v>
      </c>
      <c r="E9" s="32"/>
      <c r="F9" s="31">
        <f>'[1]ტესტები და სახარჯი მასალები'!H15</f>
        <v>262487.5</v>
      </c>
      <c r="G9" s="31">
        <f>F9</f>
        <v>262487.5</v>
      </c>
    </row>
    <row r="10" spans="1:7" x14ac:dyDescent="0.2">
      <c r="A10" s="23"/>
      <c r="B10" s="20" t="s">
        <v>60</v>
      </c>
      <c r="C10" s="30">
        <v>300000</v>
      </c>
      <c r="D10" s="31">
        <f>D9</f>
        <v>0.77</v>
      </c>
      <c r="E10" s="10"/>
      <c r="F10" s="31">
        <f>C10*D10</f>
        <v>231000</v>
      </c>
      <c r="G10" s="31">
        <f>F10</f>
        <v>231000</v>
      </c>
    </row>
    <row r="11" spans="1:7" x14ac:dyDescent="0.2">
      <c r="A11" s="23"/>
      <c r="B11" s="7" t="s">
        <v>69</v>
      </c>
      <c r="C11" s="30"/>
      <c r="D11" s="31"/>
      <c r="E11" s="10"/>
      <c r="F11" s="24">
        <f>SUM(F9:F10)</f>
        <v>493487.5</v>
      </c>
      <c r="G11" s="24">
        <f>SUM(G9:G10)</f>
        <v>493487.5</v>
      </c>
    </row>
    <row r="12" spans="1:7" ht="30" x14ac:dyDescent="0.2">
      <c r="A12" s="25" t="s">
        <v>62</v>
      </c>
      <c r="B12" s="26" t="s">
        <v>63</v>
      </c>
      <c r="C12" s="26" t="s">
        <v>19</v>
      </c>
      <c r="D12" s="27" t="s">
        <v>61</v>
      </c>
      <c r="E12" s="28"/>
      <c r="F12" s="27" t="s">
        <v>28</v>
      </c>
      <c r="G12" s="27" t="s">
        <v>28</v>
      </c>
    </row>
    <row r="13" spans="1:7" x14ac:dyDescent="0.2">
      <c r="A13" s="23"/>
      <c r="B13" s="20" t="s">
        <v>64</v>
      </c>
      <c r="C13" s="30">
        <f>'work sheet 2'!G32</f>
        <v>17</v>
      </c>
      <c r="D13" s="31">
        <f>'work sheet 2'!M20</f>
        <v>700</v>
      </c>
      <c r="E13" s="10"/>
      <c r="F13" s="31">
        <f>C13*D13</f>
        <v>11900</v>
      </c>
      <c r="G13" s="31">
        <f>F13</f>
        <v>11900</v>
      </c>
    </row>
    <row r="14" spans="1:7" x14ac:dyDescent="0.2">
      <c r="A14" s="23"/>
      <c r="B14" s="20" t="s">
        <v>65</v>
      </c>
      <c r="C14" s="30">
        <f>'work sheet 2'!H32</f>
        <v>0</v>
      </c>
      <c r="D14" s="31">
        <f>'work sheet 2'!N20</f>
        <v>400</v>
      </c>
      <c r="E14" s="10"/>
      <c r="F14" s="31">
        <f t="shared" ref="F14:F18" si="0">C14*D14</f>
        <v>0</v>
      </c>
      <c r="G14" s="31">
        <f t="shared" ref="G14:G18" si="1">F14</f>
        <v>0</v>
      </c>
    </row>
    <row r="15" spans="1:7" x14ac:dyDescent="0.2">
      <c r="A15" s="23"/>
      <c r="B15" s="20" t="s">
        <v>66</v>
      </c>
      <c r="C15" s="30">
        <f>'work sheet 2'!C32</f>
        <v>13</v>
      </c>
      <c r="D15" s="31">
        <f>'work sheet 2'!I20</f>
        <v>400</v>
      </c>
      <c r="E15" s="10"/>
      <c r="F15" s="31">
        <f t="shared" si="0"/>
        <v>5200</v>
      </c>
      <c r="G15" s="31">
        <f t="shared" si="1"/>
        <v>5200</v>
      </c>
    </row>
    <row r="16" spans="1:7" x14ac:dyDescent="0.2">
      <c r="A16" s="23"/>
      <c r="B16" s="20" t="s">
        <v>67</v>
      </c>
      <c r="C16" s="30">
        <f>'work sheet 2'!D32</f>
        <v>17</v>
      </c>
      <c r="D16" s="31">
        <f>'work sheet 2'!J20</f>
        <v>200</v>
      </c>
      <c r="E16" s="10"/>
      <c r="F16" s="31">
        <f t="shared" si="0"/>
        <v>3400</v>
      </c>
      <c r="G16" s="31">
        <f t="shared" si="1"/>
        <v>3400</v>
      </c>
    </row>
    <row r="17" spans="1:7" x14ac:dyDescent="0.2">
      <c r="A17" s="23"/>
      <c r="B17" s="20" t="s">
        <v>68</v>
      </c>
      <c r="C17" s="30">
        <f>'work sheet 2'!E32</f>
        <v>17</v>
      </c>
      <c r="D17" s="31">
        <f>'work sheet 2'!K20</f>
        <v>200</v>
      </c>
      <c r="E17" s="10"/>
      <c r="F17" s="31">
        <f t="shared" si="0"/>
        <v>3400</v>
      </c>
      <c r="G17" s="31">
        <f t="shared" si="1"/>
        <v>3400</v>
      </c>
    </row>
    <row r="18" spans="1:7" x14ac:dyDescent="0.2">
      <c r="A18" s="23"/>
      <c r="B18" s="20" t="s">
        <v>41</v>
      </c>
      <c r="C18" s="30">
        <f>'work sheet 2'!F32</f>
        <v>34</v>
      </c>
      <c r="D18" s="31">
        <f>'work sheet 2'!L20</f>
        <v>100</v>
      </c>
      <c r="E18" s="10"/>
      <c r="F18" s="31">
        <f t="shared" si="0"/>
        <v>3400</v>
      </c>
      <c r="G18" s="31">
        <f t="shared" si="1"/>
        <v>3400</v>
      </c>
    </row>
    <row r="19" spans="1:7" x14ac:dyDescent="0.2">
      <c r="A19" s="23"/>
      <c r="B19" s="8"/>
      <c r="C19" s="8"/>
      <c r="D19" s="8"/>
      <c r="E19" s="10"/>
      <c r="F19" s="24">
        <f>SUM(F13:F18)</f>
        <v>27300</v>
      </c>
      <c r="G19" s="24">
        <f>SUM(G13:G18)</f>
        <v>27300</v>
      </c>
    </row>
    <row r="20" spans="1:7" x14ac:dyDescent="0.2">
      <c r="A20" s="23"/>
      <c r="B20" s="8"/>
      <c r="C20" s="8"/>
      <c r="D20" s="9"/>
      <c r="E20" s="10"/>
      <c r="F20" s="9"/>
      <c r="G20" s="9"/>
    </row>
    <row r="21" spans="1:7" x14ac:dyDescent="0.2">
      <c r="A21" s="33"/>
      <c r="B21" s="110" t="s">
        <v>71</v>
      </c>
      <c r="C21" s="110"/>
      <c r="D21" s="110"/>
      <c r="E21" s="110"/>
      <c r="F21" s="34">
        <f>F19+F11+F6</f>
        <v>740087.5</v>
      </c>
      <c r="G21" s="34">
        <f>G19+G11+G6</f>
        <v>638087.5</v>
      </c>
    </row>
    <row r="24" spans="1:7" x14ac:dyDescent="0.2">
      <c r="B24" s="44" t="s">
        <v>74</v>
      </c>
      <c r="C24" s="45"/>
      <c r="F24" s="45">
        <f>F21/C10</f>
        <v>2.4669583333333334</v>
      </c>
      <c r="G24" s="45">
        <f>G21/C9</f>
        <v>2.1269583333333335</v>
      </c>
    </row>
    <row r="25" spans="1:7" x14ac:dyDescent="0.2">
      <c r="B25" s="44" t="s">
        <v>53</v>
      </c>
      <c r="C25" s="46"/>
      <c r="F25" s="46">
        <v>17</v>
      </c>
      <c r="G25" s="46">
        <v>17</v>
      </c>
    </row>
    <row r="27" spans="1:7" ht="30" x14ac:dyDescent="0.2">
      <c r="B27" s="44" t="s">
        <v>75</v>
      </c>
      <c r="C27" s="45"/>
      <c r="F27" s="45">
        <f>(F21-F19)/C9</f>
        <v>2.3759583333333332</v>
      </c>
      <c r="G27" s="45">
        <f>(G21-G19)/C9</f>
        <v>2.0359583333333333</v>
      </c>
    </row>
    <row r="28" spans="1:7" x14ac:dyDescent="0.2">
      <c r="B28" s="44" t="s">
        <v>53</v>
      </c>
      <c r="C28" s="46"/>
      <c r="F28" s="46">
        <v>17</v>
      </c>
      <c r="G28" s="46">
        <v>17</v>
      </c>
    </row>
  </sheetData>
  <mergeCells count="1">
    <mergeCell ref="B21:E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გათვლები</vt:lpstr>
      <vt:lpstr>ადმინისტრაციული საკითხები</vt:lpstr>
      <vt:lpstr>work sheet 1</vt:lpstr>
      <vt:lpstr>work sheet 2</vt:lpstr>
      <vt:lpstr>work sheet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2017-08-30T06:29:35Z</cp:lastPrinted>
  <dcterms:created xsi:type="dcterms:W3CDTF">2006-09-16T00:00:00Z</dcterms:created>
  <dcterms:modified xsi:type="dcterms:W3CDTF">2017-09-08T14:21:15Z</dcterms:modified>
</cp:coreProperties>
</file>